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440" windowHeight="2970" tabRatio="661" firstSheet="1" activeTab="10"/>
  </bookViews>
  <sheets>
    <sheet name="Sheet2" sheetId="1" state="hidden" r:id="rId1"/>
    <sheet name="BRIO" sheetId="2" r:id="rId2"/>
    <sheet name="JAZZ" sheetId="3" state="hidden" r:id="rId3"/>
    <sheet name="JAZZ (MMC)" sheetId="12" r:id="rId4"/>
    <sheet name="WRV" sheetId="4" r:id="rId5"/>
    <sheet name="AMAZE" sheetId="5" state="hidden" r:id="rId6"/>
    <sheet name="CITY (MMC)" sheetId="6" r:id="rId7"/>
    <sheet name="BRV" sheetId="7" r:id="rId8"/>
    <sheet name="NEW CRV" sheetId="8" r:id="rId9"/>
    <sheet name="Accord" sheetId="9" state="hidden" r:id="rId10"/>
    <sheet name="NEW AMAZE" sheetId="10" r:id="rId11"/>
  </sheets>
  <definedNames>
    <definedName name="__xlnm.Print_Area" localSheetId="3">#REF!</definedName>
    <definedName name="__xlnm.Print_Area" localSheetId="10">#REF!</definedName>
    <definedName name="__xlnm.Print_Area">#REF!</definedName>
    <definedName name="__xlnm.Print_Area_1" localSheetId="3">#REF!</definedName>
    <definedName name="__xlnm.Print_Area_1" localSheetId="10">#REF!</definedName>
    <definedName name="__xlnm.Print_Area_1">#REF!</definedName>
    <definedName name="Excel_BuiltIn_Print_Area" localSheetId="3">#REF!</definedName>
    <definedName name="Excel_BuiltIn_Print_Area" localSheetId="10">#REF!</definedName>
    <definedName name="Excel_BuiltIn_Print_Area">#REF!</definedName>
    <definedName name="Excel_BuiltIn_Print_Area_1" localSheetId="3">#REF!</definedName>
    <definedName name="Excel_BuiltIn_Print_Area_1" localSheetId="10">#REF!</definedName>
    <definedName name="Excel_BuiltIn_Print_Area_1">#REF!</definedName>
  </definedNames>
  <calcPr calcId="124519"/>
</workbook>
</file>

<file path=xl/calcChain.xml><?xml version="1.0" encoding="utf-8"?>
<calcChain xmlns="http://schemas.openxmlformats.org/spreadsheetml/2006/main">
  <c r="N12" i="2"/>
  <c r="N13"/>
  <c r="N14"/>
  <c r="N15"/>
  <c r="N16"/>
  <c r="N17"/>
  <c r="N18"/>
  <c r="N19"/>
  <c r="N11"/>
  <c r="N10"/>
  <c r="W22" i="4"/>
  <c r="V22"/>
  <c r="W21"/>
  <c r="V21"/>
  <c r="W20"/>
  <c r="V20"/>
  <c r="W19"/>
  <c r="V19"/>
  <c r="W18"/>
  <c r="V18"/>
  <c r="W17"/>
  <c r="V17"/>
  <c r="V12"/>
  <c r="W12"/>
  <c r="V13"/>
  <c r="W13"/>
  <c r="V14"/>
  <c r="W14"/>
  <c r="V15"/>
  <c r="W15"/>
  <c r="V11"/>
  <c r="W11"/>
  <c r="W10"/>
  <c r="V10"/>
  <c r="K10"/>
  <c r="K15"/>
  <c r="K14"/>
  <c r="K12" i="8" l="1"/>
  <c r="K13"/>
  <c r="K14"/>
  <c r="K15"/>
  <c r="K11"/>
  <c r="K10"/>
  <c r="N10"/>
  <c r="N21" i="10" l="1"/>
  <c r="M2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N11"/>
  <c r="M11"/>
  <c r="M10"/>
  <c r="N10"/>
  <c r="V26" i="6"/>
  <c r="W26"/>
  <c r="V27"/>
  <c r="W27"/>
  <c r="V28"/>
  <c r="W28"/>
  <c r="V29"/>
  <c r="W29"/>
  <c r="V30"/>
  <c r="W30"/>
  <c r="V31"/>
  <c r="W31"/>
  <c r="V32"/>
  <c r="W32"/>
  <c r="W25"/>
  <c r="V25"/>
  <c r="V11"/>
  <c r="W11"/>
  <c r="V12"/>
  <c r="W12"/>
  <c r="V13"/>
  <c r="W13"/>
  <c r="V14"/>
  <c r="W14"/>
  <c r="V15"/>
  <c r="W15"/>
  <c r="V16"/>
  <c r="W16"/>
  <c r="V17"/>
  <c r="W17"/>
  <c r="V18"/>
  <c r="W18"/>
  <c r="V19"/>
  <c r="W19"/>
  <c r="V20"/>
  <c r="W20"/>
  <c r="V21"/>
  <c r="W21"/>
  <c r="V22"/>
  <c r="W22"/>
  <c r="V23"/>
  <c r="W23"/>
  <c r="W10"/>
  <c r="V10"/>
  <c r="J26"/>
  <c r="J27"/>
  <c r="J28"/>
  <c r="J29"/>
  <c r="J30"/>
  <c r="J31"/>
  <c r="J32"/>
  <c r="J25"/>
  <c r="J11"/>
  <c r="J12"/>
  <c r="J13"/>
  <c r="J14"/>
  <c r="J15"/>
  <c r="J16"/>
  <c r="J17"/>
  <c r="J18"/>
  <c r="J19"/>
  <c r="J20"/>
  <c r="J21"/>
  <c r="J22"/>
  <c r="J23"/>
  <c r="Q26"/>
  <c r="Q27"/>
  <c r="Q28"/>
  <c r="Q29"/>
  <c r="Q30"/>
  <c r="Q31"/>
  <c r="Q32"/>
  <c r="Q25"/>
  <c r="Q11"/>
  <c r="Q12"/>
  <c r="Q13"/>
  <c r="Q14"/>
  <c r="Q15"/>
  <c r="Q16"/>
  <c r="Q17"/>
  <c r="Q18"/>
  <c r="Q19"/>
  <c r="Q20"/>
  <c r="Q21"/>
  <c r="Q22"/>
  <c r="Q23"/>
  <c r="Q10"/>
  <c r="J10"/>
  <c r="L25"/>
  <c r="G26"/>
  <c r="G27"/>
  <c r="G28"/>
  <c r="G29"/>
  <c r="G30"/>
  <c r="G31"/>
  <c r="G32"/>
  <c r="G11"/>
  <c r="T14" i="8" l="1"/>
  <c r="T15"/>
  <c r="T13"/>
  <c r="T12"/>
  <c r="T11"/>
  <c r="T10"/>
  <c r="M15"/>
  <c r="M14"/>
  <c r="M13"/>
  <c r="M12"/>
  <c r="M11"/>
  <c r="F15"/>
  <c r="F14"/>
  <c r="F13"/>
  <c r="F12"/>
  <c r="F11"/>
  <c r="G15" l="1"/>
  <c r="G14"/>
  <c r="G13"/>
  <c r="G12"/>
  <c r="X15"/>
  <c r="Y15" s="1"/>
  <c r="E15"/>
  <c r="X14"/>
  <c r="Y14" s="1"/>
  <c r="E14"/>
  <c r="E33" i="2"/>
  <c r="E32"/>
  <c r="E31"/>
  <c r="E30"/>
  <c r="E29"/>
  <c r="E28"/>
  <c r="E27"/>
  <c r="E26"/>
  <c r="E25"/>
  <c r="E24"/>
  <c r="E19"/>
  <c r="E18"/>
  <c r="E17"/>
  <c r="E16"/>
  <c r="E15"/>
  <c r="E14"/>
  <c r="E13"/>
  <c r="E12"/>
  <c r="E11"/>
  <c r="E10"/>
  <c r="E11" i="9"/>
  <c r="E10"/>
  <c r="F10" i="8"/>
  <c r="E34" i="10"/>
  <c r="E33"/>
  <c r="E32"/>
  <c r="E31"/>
  <c r="E30"/>
  <c r="E29"/>
  <c r="E28"/>
  <c r="E27"/>
  <c r="E26"/>
  <c r="E25"/>
  <c r="E24"/>
  <c r="E23"/>
  <c r="E21"/>
  <c r="E20"/>
  <c r="E19"/>
  <c r="E18"/>
  <c r="E17"/>
  <c r="E16"/>
  <c r="E15"/>
  <c r="E14"/>
  <c r="E13"/>
  <c r="E12"/>
  <c r="E11"/>
  <c r="E10"/>
  <c r="F32" i="6"/>
  <c r="F31"/>
  <c r="F30"/>
  <c r="F29"/>
  <c r="F28"/>
  <c r="F27"/>
  <c r="F26"/>
  <c r="F25"/>
  <c r="F23"/>
  <c r="F22"/>
  <c r="F21"/>
  <c r="F20"/>
  <c r="F19"/>
  <c r="F18"/>
  <c r="F17"/>
  <c r="F16"/>
  <c r="F15"/>
  <c r="F14"/>
  <c r="F13"/>
  <c r="F12"/>
  <c r="F11"/>
  <c r="F10"/>
  <c r="E91" i="5"/>
  <c r="E90"/>
  <c r="E89"/>
  <c r="E88"/>
  <c r="E87"/>
  <c r="E86"/>
  <c r="E85"/>
  <c r="E84"/>
  <c r="E83"/>
  <c r="E82"/>
  <c r="E81"/>
  <c r="E80"/>
  <c r="E79"/>
  <c r="E78"/>
  <c r="E77"/>
  <c r="E76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33"/>
  <c r="E48"/>
  <c r="E47"/>
  <c r="E46"/>
  <c r="E45"/>
  <c r="E44"/>
  <c r="E43"/>
  <c r="E42"/>
  <c r="E41"/>
  <c r="E40"/>
  <c r="E39"/>
  <c r="E38"/>
  <c r="E37"/>
  <c r="E36"/>
  <c r="E35"/>
  <c r="E34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9" i="12"/>
  <c r="E40"/>
  <c r="E41"/>
  <c r="E42"/>
  <c r="E43"/>
  <c r="E38"/>
  <c r="E30"/>
  <c r="E31"/>
  <c r="E32"/>
  <c r="E33"/>
  <c r="E34"/>
  <c r="E35"/>
  <c r="E36"/>
  <c r="E29"/>
  <c r="E20"/>
  <c r="E21"/>
  <c r="E22"/>
  <c r="E23"/>
  <c r="E24"/>
  <c r="E19"/>
  <c r="E11"/>
  <c r="E12"/>
  <c r="E13"/>
  <c r="E14"/>
  <c r="E15"/>
  <c r="E16"/>
  <c r="E17"/>
  <c r="E10"/>
  <c r="E65" i="3"/>
  <c r="E66"/>
  <c r="E67"/>
  <c r="E68"/>
  <c r="E69"/>
  <c r="E70"/>
  <c r="E71"/>
  <c r="E72"/>
  <c r="E73"/>
  <c r="E74"/>
  <c r="E75"/>
  <c r="E64"/>
  <c r="E46"/>
  <c r="E47"/>
  <c r="E48"/>
  <c r="E49"/>
  <c r="E50"/>
  <c r="E51"/>
  <c r="E52"/>
  <c r="E53"/>
  <c r="E54"/>
  <c r="E55"/>
  <c r="E56"/>
  <c r="E57"/>
  <c r="E58"/>
  <c r="E59"/>
  <c r="E60"/>
  <c r="E61"/>
  <c r="E62"/>
  <c r="E45"/>
  <c r="E30"/>
  <c r="E31"/>
  <c r="E32"/>
  <c r="E33"/>
  <c r="E34"/>
  <c r="E35"/>
  <c r="E36"/>
  <c r="E37"/>
  <c r="E38"/>
  <c r="E39"/>
  <c r="E40"/>
  <c r="E29"/>
  <c r="E27"/>
  <c r="E11"/>
  <c r="E12"/>
  <c r="E13"/>
  <c r="E14"/>
  <c r="E15"/>
  <c r="E16"/>
  <c r="E17"/>
  <c r="E18"/>
  <c r="E19"/>
  <c r="E20"/>
  <c r="E21"/>
  <c r="E22"/>
  <c r="E23"/>
  <c r="E24"/>
  <c r="E25"/>
  <c r="E26"/>
  <c r="E10"/>
  <c r="F18" i="4"/>
  <c r="F19"/>
  <c r="F20"/>
  <c r="F21"/>
  <c r="F22"/>
  <c r="F17"/>
  <c r="F11"/>
  <c r="F12"/>
  <c r="F13"/>
  <c r="F14"/>
  <c r="F15"/>
  <c r="F10"/>
  <c r="F21" i="7"/>
  <c r="F22"/>
  <c r="F23"/>
  <c r="F24"/>
  <c r="F25"/>
  <c r="F26"/>
  <c r="F11"/>
  <c r="F12"/>
  <c r="F13"/>
  <c r="F14"/>
  <c r="F15"/>
  <c r="F16"/>
  <c r="F17"/>
  <c r="F18"/>
  <c r="F19"/>
  <c r="F10"/>
  <c r="J15" i="8" l="1"/>
  <c r="J14"/>
  <c r="Z14"/>
  <c r="AA14" s="1"/>
  <c r="Z15"/>
  <c r="AA15" s="1"/>
  <c r="L15"/>
  <c r="N14"/>
  <c r="N15"/>
  <c r="L14"/>
  <c r="X22" i="7"/>
  <c r="Y22" s="1"/>
  <c r="X23"/>
  <c r="Y23" s="1"/>
  <c r="X24"/>
  <c r="Y24" s="1"/>
  <c r="X25"/>
  <c r="Y25" s="1"/>
  <c r="X26"/>
  <c r="Y26" s="1"/>
  <c r="X17"/>
  <c r="Y17" s="1"/>
  <c r="X18"/>
  <c r="Y18" s="1"/>
  <c r="X19"/>
  <c r="Y19" s="1"/>
  <c r="X15"/>
  <c r="Y15" s="1"/>
  <c r="X26" i="6"/>
  <c r="Y26" s="1"/>
  <c r="Z26" s="1"/>
  <c r="AA26" s="1"/>
  <c r="X12"/>
  <c r="Y12" s="1"/>
  <c r="Z12" s="1"/>
  <c r="AA12" s="1"/>
  <c r="X13"/>
  <c r="Y13" s="1"/>
  <c r="Z13" s="1"/>
  <c r="AA13" s="1"/>
  <c r="X20" i="4"/>
  <c r="Y20" s="1"/>
  <c r="X19"/>
  <c r="Y19" s="1"/>
  <c r="X13"/>
  <c r="Y13" s="1"/>
  <c r="X12"/>
  <c r="Y12" s="1"/>
  <c r="E22"/>
  <c r="E21"/>
  <c r="F25" i="10"/>
  <c r="I25" s="1"/>
  <c r="F26"/>
  <c r="I26" s="1"/>
  <c r="F27"/>
  <c r="I27" s="1"/>
  <c r="F28"/>
  <c r="I28" s="1"/>
  <c r="F29"/>
  <c r="I29" s="1"/>
  <c r="F30"/>
  <c r="I30" s="1"/>
  <c r="F31"/>
  <c r="I31" s="1"/>
  <c r="F32"/>
  <c r="I32" s="1"/>
  <c r="F33"/>
  <c r="I33" s="1"/>
  <c r="F12"/>
  <c r="I12" s="1"/>
  <c r="F13"/>
  <c r="I13" s="1"/>
  <c r="F14"/>
  <c r="I14" s="1"/>
  <c r="F15"/>
  <c r="I15" s="1"/>
  <c r="F16"/>
  <c r="I16" s="1"/>
  <c r="F17"/>
  <c r="I17" s="1"/>
  <c r="F18"/>
  <c r="I18" s="1"/>
  <c r="F19"/>
  <c r="I19" s="1"/>
  <c r="F20"/>
  <c r="I20" s="1"/>
  <c r="G11" i="4"/>
  <c r="G12"/>
  <c r="G13"/>
  <c r="G14"/>
  <c r="G15"/>
  <c r="Q14" i="8" l="1"/>
  <c r="W14" s="1"/>
  <c r="Q15"/>
  <c r="W15" s="1"/>
  <c r="S15"/>
  <c r="V15" s="1"/>
  <c r="AH15" s="1"/>
  <c r="S14"/>
  <c r="V14" s="1"/>
  <c r="AH14" s="1"/>
  <c r="Z26" i="7"/>
  <c r="AA26" s="1"/>
  <c r="Z24"/>
  <c r="AA24" s="1"/>
  <c r="Z22"/>
  <c r="AA22" s="1"/>
  <c r="Z25"/>
  <c r="AA25" s="1"/>
  <c r="Z23"/>
  <c r="AA23" s="1"/>
  <c r="Z18"/>
  <c r="AA18" s="1"/>
  <c r="Z19"/>
  <c r="AA19" s="1"/>
  <c r="Z17"/>
  <c r="AA17" s="1"/>
  <c r="Z15"/>
  <c r="AA15" s="1"/>
  <c r="Z20" i="4"/>
  <c r="AA20" s="1"/>
  <c r="Z19"/>
  <c r="AA19" s="1"/>
  <c r="Z13"/>
  <c r="AA13" s="1"/>
  <c r="Z12"/>
  <c r="AA12" s="1"/>
  <c r="G22"/>
  <c r="G21"/>
  <c r="U20"/>
  <c r="K20"/>
  <c r="M20" s="1"/>
  <c r="G20"/>
  <c r="U19"/>
  <c r="K19"/>
  <c r="M19" s="1"/>
  <c r="G19"/>
  <c r="U13"/>
  <c r="K13"/>
  <c r="M13" s="1"/>
  <c r="U12"/>
  <c r="K12"/>
  <c r="M12" s="1"/>
  <c r="AI14" i="8" l="1"/>
  <c r="AI15"/>
  <c r="N19" i="4"/>
  <c r="Q19" s="1"/>
  <c r="T20"/>
  <c r="T19"/>
  <c r="T13"/>
  <c r="T12"/>
  <c r="J19"/>
  <c r="J20"/>
  <c r="N20"/>
  <c r="Q20" s="1"/>
  <c r="J13"/>
  <c r="N13"/>
  <c r="Q13" s="1"/>
  <c r="J12"/>
  <c r="N12"/>
  <c r="Q12" s="1"/>
  <c r="U13" i="6"/>
  <c r="T13"/>
  <c r="K13"/>
  <c r="E13"/>
  <c r="G13"/>
  <c r="U12"/>
  <c r="T12"/>
  <c r="K12"/>
  <c r="E12"/>
  <c r="G12"/>
  <c r="F16" i="12"/>
  <c r="J16"/>
  <c r="K16" s="1"/>
  <c r="U16"/>
  <c r="Y16"/>
  <c r="Z16" s="1"/>
  <c r="F17"/>
  <c r="J17"/>
  <c r="K17" s="1"/>
  <c r="U17"/>
  <c r="Y17"/>
  <c r="Z17" s="1"/>
  <c r="AA17" s="1"/>
  <c r="Y43"/>
  <c r="Z43" s="1"/>
  <c r="U43"/>
  <c r="J43"/>
  <c r="K43" s="1"/>
  <c r="F43"/>
  <c r="Y42"/>
  <c r="Z42" s="1"/>
  <c r="U42"/>
  <c r="J42"/>
  <c r="K42" s="1"/>
  <c r="F42"/>
  <c r="Y41"/>
  <c r="Z41" s="1"/>
  <c r="U41"/>
  <c r="J41"/>
  <c r="K41" s="1"/>
  <c r="F41"/>
  <c r="Y40"/>
  <c r="Z40" s="1"/>
  <c r="U40"/>
  <c r="J40"/>
  <c r="K40" s="1"/>
  <c r="F40"/>
  <c r="Y39"/>
  <c r="Z39" s="1"/>
  <c r="U39"/>
  <c r="J39"/>
  <c r="F39"/>
  <c r="Y38"/>
  <c r="Z38" s="1"/>
  <c r="U38"/>
  <c r="J38"/>
  <c r="K38" s="1"/>
  <c r="F38"/>
  <c r="Y36"/>
  <c r="Z36" s="1"/>
  <c r="U36"/>
  <c r="J36"/>
  <c r="F36"/>
  <c r="Y35"/>
  <c r="Z35" s="1"/>
  <c r="U35"/>
  <c r="J35"/>
  <c r="F35"/>
  <c r="Y34"/>
  <c r="Z34" s="1"/>
  <c r="U34"/>
  <c r="J34"/>
  <c r="F34"/>
  <c r="Y33"/>
  <c r="Z33" s="1"/>
  <c r="U33"/>
  <c r="J33"/>
  <c r="F33"/>
  <c r="Y32"/>
  <c r="Z32" s="1"/>
  <c r="U32"/>
  <c r="J32"/>
  <c r="F32"/>
  <c r="Y31"/>
  <c r="Z31" s="1"/>
  <c r="U31"/>
  <c r="J31"/>
  <c r="F31"/>
  <c r="Y30"/>
  <c r="Z30" s="1"/>
  <c r="U30"/>
  <c r="J30"/>
  <c r="K30" s="1"/>
  <c r="F30"/>
  <c r="Y29"/>
  <c r="Z29" s="1"/>
  <c r="AA29" s="1"/>
  <c r="U29"/>
  <c r="J29"/>
  <c r="K29" s="1"/>
  <c r="F29"/>
  <c r="Y24"/>
  <c r="Z24" s="1"/>
  <c r="U24"/>
  <c r="J24"/>
  <c r="F24"/>
  <c r="Y23"/>
  <c r="Z23" s="1"/>
  <c r="U23"/>
  <c r="J23"/>
  <c r="K23" s="1"/>
  <c r="F23"/>
  <c r="Y22"/>
  <c r="Z22" s="1"/>
  <c r="AA22" s="1"/>
  <c r="AB22" s="1"/>
  <c r="U22"/>
  <c r="J22"/>
  <c r="K22" s="1"/>
  <c r="F22"/>
  <c r="Y21"/>
  <c r="Z21" s="1"/>
  <c r="AA21" s="1"/>
  <c r="U21"/>
  <c r="J21"/>
  <c r="K21" s="1"/>
  <c r="F21"/>
  <c r="Y20"/>
  <c r="Z20" s="1"/>
  <c r="AA20" s="1"/>
  <c r="U20"/>
  <c r="J20"/>
  <c r="F20"/>
  <c r="Y19"/>
  <c r="Z19" s="1"/>
  <c r="AA19" s="1"/>
  <c r="U19"/>
  <c r="J19"/>
  <c r="F19"/>
  <c r="Y15"/>
  <c r="Z15" s="1"/>
  <c r="U15"/>
  <c r="J15"/>
  <c r="K15" s="1"/>
  <c r="F15"/>
  <c r="Y14"/>
  <c r="Z14" s="1"/>
  <c r="AA14" s="1"/>
  <c r="AB14" s="1"/>
  <c r="U14"/>
  <c r="J14"/>
  <c r="F14"/>
  <c r="Y13"/>
  <c r="Z13" s="1"/>
  <c r="U13"/>
  <c r="J13"/>
  <c r="K13" s="1"/>
  <c r="F13"/>
  <c r="Y12"/>
  <c r="Z12" s="1"/>
  <c r="U12"/>
  <c r="J12"/>
  <c r="K12" s="1"/>
  <c r="F12"/>
  <c r="Y11"/>
  <c r="Z11" s="1"/>
  <c r="U11"/>
  <c r="J11"/>
  <c r="K11" s="1"/>
  <c r="F11"/>
  <c r="Y10"/>
  <c r="Z10" s="1"/>
  <c r="U10"/>
  <c r="J10"/>
  <c r="K10" s="1"/>
  <c r="F10"/>
  <c r="V34" i="10"/>
  <c r="W34" s="1"/>
  <c r="S34"/>
  <c r="J34"/>
  <c r="F34"/>
  <c r="I34" s="1"/>
  <c r="V33"/>
  <c r="W33" s="1"/>
  <c r="S33"/>
  <c r="J33"/>
  <c r="V32"/>
  <c r="W32" s="1"/>
  <c r="S32"/>
  <c r="J32"/>
  <c r="V31"/>
  <c r="W31" s="1"/>
  <c r="S31"/>
  <c r="J31"/>
  <c r="V30"/>
  <c r="W30" s="1"/>
  <c r="S30"/>
  <c r="J30"/>
  <c r="V29"/>
  <c r="W29" s="1"/>
  <c r="S29"/>
  <c r="J29"/>
  <c r="V28"/>
  <c r="W28" s="1"/>
  <c r="S28"/>
  <c r="J28"/>
  <c r="V27"/>
  <c r="W27" s="1"/>
  <c r="S27"/>
  <c r="J27"/>
  <c r="V26"/>
  <c r="W26" s="1"/>
  <c r="S26"/>
  <c r="J26"/>
  <c r="V25"/>
  <c r="W25" s="1"/>
  <c r="S25"/>
  <c r="J25"/>
  <c r="V24"/>
  <c r="W24" s="1"/>
  <c r="S24"/>
  <c r="J24"/>
  <c r="F24"/>
  <c r="I24" s="1"/>
  <c r="V23"/>
  <c r="W23" s="1"/>
  <c r="S23"/>
  <c r="J23"/>
  <c r="F23"/>
  <c r="I23" s="1"/>
  <c r="V21"/>
  <c r="W21" s="1"/>
  <c r="X21" s="1"/>
  <c r="S21"/>
  <c r="J21"/>
  <c r="F21"/>
  <c r="I21" s="1"/>
  <c r="V20"/>
  <c r="W20" s="1"/>
  <c r="S20"/>
  <c r="J20"/>
  <c r="V19"/>
  <c r="W19" s="1"/>
  <c r="X19" s="1"/>
  <c r="S19"/>
  <c r="J19"/>
  <c r="V18"/>
  <c r="W18" s="1"/>
  <c r="S18"/>
  <c r="J18"/>
  <c r="V17"/>
  <c r="W17" s="1"/>
  <c r="X17" s="1"/>
  <c r="S17"/>
  <c r="J17"/>
  <c r="V16"/>
  <c r="W16" s="1"/>
  <c r="S16"/>
  <c r="J16"/>
  <c r="V15"/>
  <c r="W15" s="1"/>
  <c r="X15" s="1"/>
  <c r="S15"/>
  <c r="J15"/>
  <c r="V14"/>
  <c r="W14" s="1"/>
  <c r="S14"/>
  <c r="J14"/>
  <c r="V13"/>
  <c r="W13" s="1"/>
  <c r="S13"/>
  <c r="J13"/>
  <c r="V12"/>
  <c r="W12" s="1"/>
  <c r="S12"/>
  <c r="J12"/>
  <c r="V11"/>
  <c r="W11" s="1"/>
  <c r="X11" s="1"/>
  <c r="S11"/>
  <c r="J11"/>
  <c r="F11"/>
  <c r="I11" s="1"/>
  <c r="V10"/>
  <c r="W10" s="1"/>
  <c r="X10" s="1"/>
  <c r="S10"/>
  <c r="J10"/>
  <c r="F10"/>
  <c r="I10" s="1"/>
  <c r="K13" l="1"/>
  <c r="O13" s="1"/>
  <c r="K14"/>
  <c r="O14" s="1"/>
  <c r="K18"/>
  <c r="O18" s="1"/>
  <c r="K30"/>
  <c r="O30" s="1"/>
  <c r="K10"/>
  <c r="O10" s="1"/>
  <c r="K11"/>
  <c r="O11" s="1"/>
  <c r="K15"/>
  <c r="O15" s="1"/>
  <c r="K19"/>
  <c r="O19" s="1"/>
  <c r="K27"/>
  <c r="O27" s="1"/>
  <c r="K31"/>
  <c r="O31" s="1"/>
  <c r="K12"/>
  <c r="O12" s="1"/>
  <c r="K16"/>
  <c r="O16" s="1"/>
  <c r="K21"/>
  <c r="O21" s="1"/>
  <c r="K23"/>
  <c r="O23" s="1"/>
  <c r="K24"/>
  <c r="O24" s="1"/>
  <c r="K28"/>
  <c r="O28" s="1"/>
  <c r="K32"/>
  <c r="O32" s="1"/>
  <c r="K17"/>
  <c r="O17" s="1"/>
  <c r="K25"/>
  <c r="K29"/>
  <c r="O29" s="1"/>
  <c r="K34"/>
  <c r="O34"/>
  <c r="O33"/>
  <c r="L26"/>
  <c r="K26"/>
  <c r="O26" s="1"/>
  <c r="L11"/>
  <c r="L15"/>
  <c r="L19"/>
  <c r="L12" i="6"/>
  <c r="M12"/>
  <c r="L13" i="10"/>
  <c r="L17"/>
  <c r="L33"/>
  <c r="K33"/>
  <c r="L13" i="6"/>
  <c r="M13"/>
  <c r="L12" i="10"/>
  <c r="L20"/>
  <c r="K20"/>
  <c r="O20" s="1"/>
  <c r="L14" i="12"/>
  <c r="K14"/>
  <c r="L19"/>
  <c r="K19"/>
  <c r="L20"/>
  <c r="O20" s="1"/>
  <c r="K20"/>
  <c r="L24"/>
  <c r="K24"/>
  <c r="O24" s="1"/>
  <c r="L31"/>
  <c r="K31"/>
  <c r="L32"/>
  <c r="K32"/>
  <c r="L33"/>
  <c r="K33"/>
  <c r="L34"/>
  <c r="K34"/>
  <c r="L35"/>
  <c r="K35"/>
  <c r="L36"/>
  <c r="K36"/>
  <c r="L39"/>
  <c r="K39"/>
  <c r="N13" i="6"/>
  <c r="N12"/>
  <c r="I16" i="12"/>
  <c r="I17"/>
  <c r="L17"/>
  <c r="O17" s="1"/>
  <c r="AA16"/>
  <c r="AB16" s="1"/>
  <c r="AB17"/>
  <c r="L16"/>
  <c r="O16" s="1"/>
  <c r="I19"/>
  <c r="L22"/>
  <c r="O22" s="1"/>
  <c r="I20"/>
  <c r="I24"/>
  <c r="I29"/>
  <c r="I30"/>
  <c r="I40"/>
  <c r="I42"/>
  <c r="I12"/>
  <c r="I22"/>
  <c r="L15"/>
  <c r="O15" s="1"/>
  <c r="O19"/>
  <c r="I38"/>
  <c r="I11"/>
  <c r="L13"/>
  <c r="O13" s="1"/>
  <c r="L38"/>
  <c r="O38" s="1"/>
  <c r="I10"/>
  <c r="L11"/>
  <c r="O11" s="1"/>
  <c r="I13"/>
  <c r="I41"/>
  <c r="I43"/>
  <c r="I14"/>
  <c r="I15"/>
  <c r="I21"/>
  <c r="I23"/>
  <c r="I31"/>
  <c r="AB19"/>
  <c r="S19" s="1"/>
  <c r="AB21"/>
  <c r="S21" s="1"/>
  <c r="AB29"/>
  <c r="S29" s="1"/>
  <c r="I32"/>
  <c r="I39"/>
  <c r="AA10"/>
  <c r="AB10" s="1"/>
  <c r="AA12"/>
  <c r="AB12" s="1"/>
  <c r="AA23"/>
  <c r="AB23" s="1"/>
  <c r="T14"/>
  <c r="S14"/>
  <c r="T22"/>
  <c r="S22"/>
  <c r="AA13"/>
  <c r="AB13" s="1"/>
  <c r="AA42"/>
  <c r="AB42" s="1"/>
  <c r="L29"/>
  <c r="AA30"/>
  <c r="AB30" s="1"/>
  <c r="AA11"/>
  <c r="AB11" s="1"/>
  <c r="L10"/>
  <c r="L12"/>
  <c r="L21"/>
  <c r="O21" s="1"/>
  <c r="AA24"/>
  <c r="AB24" s="1"/>
  <c r="AA38"/>
  <c r="AB38" s="1"/>
  <c r="AB20"/>
  <c r="AA15"/>
  <c r="AB15" s="1"/>
  <c r="L23"/>
  <c r="L30"/>
  <c r="O30" s="1"/>
  <c r="AA31"/>
  <c r="AB31" s="1"/>
  <c r="AA32"/>
  <c r="AB32" s="1"/>
  <c r="AA33"/>
  <c r="AB33" s="1"/>
  <c r="AA34"/>
  <c r="AB34" s="1"/>
  <c r="AA35"/>
  <c r="AB35" s="1"/>
  <c r="AA36"/>
  <c r="AB36" s="1"/>
  <c r="AA39"/>
  <c r="AB39" s="1"/>
  <c r="AA40"/>
  <c r="AB40" s="1"/>
  <c r="I33"/>
  <c r="I34"/>
  <c r="I35"/>
  <c r="I36"/>
  <c r="O32"/>
  <c r="O34"/>
  <c r="O36"/>
  <c r="AA41"/>
  <c r="AB41" s="1"/>
  <c r="AA43"/>
  <c r="AB43" s="1"/>
  <c r="L40"/>
  <c r="O40" s="1"/>
  <c r="L41"/>
  <c r="O41" s="1"/>
  <c r="L42"/>
  <c r="O42" s="1"/>
  <c r="L43"/>
  <c r="O43" s="1"/>
  <c r="L10" i="10"/>
  <c r="L24"/>
  <c r="L28"/>
  <c r="L25"/>
  <c r="O25" s="1"/>
  <c r="L32"/>
  <c r="L29"/>
  <c r="L16"/>
  <c r="L18"/>
  <c r="L14"/>
  <c r="L30"/>
  <c r="L34"/>
  <c r="L23"/>
  <c r="L27"/>
  <c r="L31"/>
  <c r="X18"/>
  <c r="Y18" s="1"/>
  <c r="X23"/>
  <c r="Y23" s="1"/>
  <c r="X26"/>
  <c r="Y26" s="1"/>
  <c r="X29"/>
  <c r="Y29" s="1"/>
  <c r="X32"/>
  <c r="Y32" s="1"/>
  <c r="X34"/>
  <c r="Y34" s="1"/>
  <c r="Y15"/>
  <c r="X24"/>
  <c r="Y24" s="1"/>
  <c r="X25"/>
  <c r="Y25" s="1"/>
  <c r="X30"/>
  <c r="Y30" s="1"/>
  <c r="X31"/>
  <c r="Y31" s="1"/>
  <c r="X12"/>
  <c r="Y12" s="1"/>
  <c r="Y10"/>
  <c r="Y11"/>
  <c r="Y17"/>
  <c r="Y21"/>
  <c r="X16"/>
  <c r="Y16" s="1"/>
  <c r="X27"/>
  <c r="Y27" s="1"/>
  <c r="X28"/>
  <c r="Y28" s="1"/>
  <c r="X33"/>
  <c r="Y33" s="1"/>
  <c r="X14"/>
  <c r="Y14" s="1"/>
  <c r="X20"/>
  <c r="Y20" s="1"/>
  <c r="X13"/>
  <c r="Y13" s="1"/>
  <c r="Y19"/>
  <c r="L21"/>
  <c r="U33" l="1"/>
  <c r="O39" i="12"/>
  <c r="O35"/>
  <c r="O33"/>
  <c r="O31"/>
  <c r="O14"/>
  <c r="W29"/>
  <c r="O29"/>
  <c r="W21"/>
  <c r="AR21" s="1"/>
  <c r="W19"/>
  <c r="AR19" s="1"/>
  <c r="T16"/>
  <c r="X16" s="1"/>
  <c r="AS16" s="1"/>
  <c r="S16"/>
  <c r="W16" s="1"/>
  <c r="AR16" s="1"/>
  <c r="S17"/>
  <c r="W17" s="1"/>
  <c r="AR17" s="1"/>
  <c r="T17"/>
  <c r="X17" s="1"/>
  <c r="AS17" s="1"/>
  <c r="W22"/>
  <c r="AR22" s="1"/>
  <c r="W14"/>
  <c r="AR14" s="1"/>
  <c r="T29"/>
  <c r="X22"/>
  <c r="AS22" s="1"/>
  <c r="O10"/>
  <c r="O23"/>
  <c r="T21"/>
  <c r="X21" s="1"/>
  <c r="AS21" s="1"/>
  <c r="X14"/>
  <c r="AS14" s="1"/>
  <c r="O12"/>
  <c r="T19"/>
  <c r="X19" s="1"/>
  <c r="AS19" s="1"/>
  <c r="T36"/>
  <c r="X36" s="1"/>
  <c r="S36"/>
  <c r="W36" s="1"/>
  <c r="T24"/>
  <c r="X24" s="1"/>
  <c r="AS24" s="1"/>
  <c r="S24"/>
  <c r="W24" s="1"/>
  <c r="AR24" s="1"/>
  <c r="T23"/>
  <c r="S23"/>
  <c r="W23" s="1"/>
  <c r="AR23" s="1"/>
  <c r="S39"/>
  <c r="W39" s="1"/>
  <c r="T39"/>
  <c r="X39" s="1"/>
  <c r="T35"/>
  <c r="S35"/>
  <c r="W35" s="1"/>
  <c r="S38"/>
  <c r="W38" s="1"/>
  <c r="T38"/>
  <c r="X38" s="1"/>
  <c r="T33"/>
  <c r="S33"/>
  <c r="W33" s="1"/>
  <c r="T11"/>
  <c r="X11" s="1"/>
  <c r="AS11" s="1"/>
  <c r="S11"/>
  <c r="W11" s="1"/>
  <c r="AR11" s="1"/>
  <c r="T31"/>
  <c r="X31" s="1"/>
  <c r="S31"/>
  <c r="W31" s="1"/>
  <c r="T30"/>
  <c r="X30" s="1"/>
  <c r="S30"/>
  <c r="W30" s="1"/>
  <c r="T12"/>
  <c r="S12"/>
  <c r="W12" s="1"/>
  <c r="AR12" s="1"/>
  <c r="S41"/>
  <c r="W41" s="1"/>
  <c r="T41"/>
  <c r="X41" s="1"/>
  <c r="T34"/>
  <c r="X34" s="1"/>
  <c r="S34"/>
  <c r="W34" s="1"/>
  <c r="T32"/>
  <c r="X32" s="1"/>
  <c r="S32"/>
  <c r="W32" s="1"/>
  <c r="S10"/>
  <c r="W10" s="1"/>
  <c r="AR10" s="1"/>
  <c r="T10"/>
  <c r="S43"/>
  <c r="W43" s="1"/>
  <c r="T43"/>
  <c r="X43" s="1"/>
  <c r="S15"/>
  <c r="W15" s="1"/>
  <c r="AR15" s="1"/>
  <c r="T15"/>
  <c r="X15" s="1"/>
  <c r="AS15" s="1"/>
  <c r="T13"/>
  <c r="X13" s="1"/>
  <c r="AS13" s="1"/>
  <c r="S13"/>
  <c r="W13" s="1"/>
  <c r="AR13" s="1"/>
  <c r="S20"/>
  <c r="W20" s="1"/>
  <c r="AR20" s="1"/>
  <c r="T20"/>
  <c r="X20" s="1"/>
  <c r="AS20" s="1"/>
  <c r="S40"/>
  <c r="W40" s="1"/>
  <c r="T40"/>
  <c r="X40" s="1"/>
  <c r="S42"/>
  <c r="W42" s="1"/>
  <c r="T42"/>
  <c r="X42" s="1"/>
  <c r="R33" i="10"/>
  <c r="T33" s="1"/>
  <c r="R20"/>
  <c r="T20" s="1"/>
  <c r="R34"/>
  <c r="T34" s="1"/>
  <c r="R18"/>
  <c r="T18" s="1"/>
  <c r="R27"/>
  <c r="T27" s="1"/>
  <c r="R28"/>
  <c r="T28" s="1"/>
  <c r="R32"/>
  <c r="T32" s="1"/>
  <c r="R14"/>
  <c r="T14" s="1"/>
  <c r="R16"/>
  <c r="T16" s="1"/>
  <c r="R26"/>
  <c r="T26" s="1"/>
  <c r="R19"/>
  <c r="T19" s="1"/>
  <c r="R13"/>
  <c r="T13" s="1"/>
  <c r="R30"/>
  <c r="T30" s="1"/>
  <c r="R24"/>
  <c r="T24" s="1"/>
  <c r="R17"/>
  <c r="T17" s="1"/>
  <c r="R10"/>
  <c r="T10" s="1"/>
  <c r="R12"/>
  <c r="T12" s="1"/>
  <c r="R31"/>
  <c r="T31" s="1"/>
  <c r="R25"/>
  <c r="T25" s="1"/>
  <c r="R21"/>
  <c r="T21" s="1"/>
  <c r="R11"/>
  <c r="T11" s="1"/>
  <c r="R15"/>
  <c r="T15" s="1"/>
  <c r="R29"/>
  <c r="T29" s="1"/>
  <c r="R23"/>
  <c r="T23" s="1"/>
  <c r="U19" l="1"/>
  <c r="U18"/>
  <c r="U14"/>
  <c r="U17"/>
  <c r="U21"/>
  <c r="U25"/>
  <c r="U30"/>
  <c r="U29"/>
  <c r="U24"/>
  <c r="U23"/>
  <c r="U27"/>
  <c r="U20"/>
  <c r="U34"/>
  <c r="U28"/>
  <c r="U12"/>
  <c r="U31"/>
  <c r="U10"/>
  <c r="U26"/>
  <c r="U16"/>
  <c r="U15"/>
  <c r="AC15" s="1"/>
  <c r="U11"/>
  <c r="U13"/>
  <c r="U32"/>
  <c r="AC13"/>
  <c r="X33" i="12"/>
  <c r="X35"/>
  <c r="X12"/>
  <c r="AS12" s="1"/>
  <c r="X29"/>
  <c r="X23"/>
  <c r="AS23" s="1"/>
  <c r="X10"/>
  <c r="AS10" s="1"/>
  <c r="AB20" i="10"/>
  <c r="AB12"/>
  <c r="AB14"/>
  <c r="AB21"/>
  <c r="AB17"/>
  <c r="AB15"/>
  <c r="AB11"/>
  <c r="AC11"/>
  <c r="AC21"/>
  <c r="AC12"/>
  <c r="AC10"/>
  <c r="AC19"/>
  <c r="AC16"/>
  <c r="AC18"/>
  <c r="AC20"/>
  <c r="AB10"/>
  <c r="AB13"/>
  <c r="AB19"/>
  <c r="AC14"/>
  <c r="AB18"/>
  <c r="AB16"/>
  <c r="AC17"/>
  <c r="G11" i="8"/>
  <c r="G10"/>
  <c r="G26" i="7"/>
  <c r="G25"/>
  <c r="G24"/>
  <c r="G23"/>
  <c r="G22"/>
  <c r="G21"/>
  <c r="G19"/>
  <c r="G18"/>
  <c r="G17"/>
  <c r="G16"/>
  <c r="G15"/>
  <c r="G14"/>
  <c r="G13"/>
  <c r="G12"/>
  <c r="G11"/>
  <c r="G10"/>
  <c r="G25" i="6"/>
  <c r="G23"/>
  <c r="G22"/>
  <c r="G21"/>
  <c r="G20"/>
  <c r="G19"/>
  <c r="G18"/>
  <c r="G17"/>
  <c r="G16"/>
  <c r="G15"/>
  <c r="G14"/>
  <c r="G10"/>
  <c r="F91" i="5"/>
  <c r="F90"/>
  <c r="F89"/>
  <c r="F88"/>
  <c r="F87"/>
  <c r="F86"/>
  <c r="F85"/>
  <c r="F84"/>
  <c r="F83"/>
  <c r="F82"/>
  <c r="F81"/>
  <c r="F80"/>
  <c r="F79"/>
  <c r="F78"/>
  <c r="F77"/>
  <c r="F76"/>
  <c r="F74"/>
  <c r="F73"/>
  <c r="F72"/>
  <c r="F71"/>
  <c r="F70"/>
  <c r="F69"/>
  <c r="F68"/>
  <c r="F67"/>
  <c r="F66"/>
  <c r="F65"/>
  <c r="F64"/>
  <c r="I64" s="1"/>
  <c r="F63"/>
  <c r="F62"/>
  <c r="F61"/>
  <c r="F60"/>
  <c r="F59"/>
  <c r="F58"/>
  <c r="F57"/>
  <c r="F56"/>
  <c r="F55"/>
  <c r="F54"/>
  <c r="F53"/>
  <c r="F48"/>
  <c r="F47"/>
  <c r="F46"/>
  <c r="F45"/>
  <c r="F44"/>
  <c r="I44" s="1"/>
  <c r="F43"/>
  <c r="F42"/>
  <c r="F41"/>
  <c r="F40"/>
  <c r="F39"/>
  <c r="F38"/>
  <c r="F37"/>
  <c r="F36"/>
  <c r="F35"/>
  <c r="F34"/>
  <c r="F33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39" i="3"/>
  <c r="F38"/>
  <c r="F37"/>
  <c r="F36"/>
  <c r="F35"/>
  <c r="F34"/>
  <c r="F33"/>
  <c r="F32"/>
  <c r="F31"/>
  <c r="F30"/>
  <c r="F29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40"/>
  <c r="F75"/>
  <c r="F74"/>
  <c r="F73"/>
  <c r="F72"/>
  <c r="F71"/>
  <c r="F70"/>
  <c r="F69"/>
  <c r="F68"/>
  <c r="F67"/>
  <c r="F66"/>
  <c r="F65"/>
  <c r="F64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33" i="2"/>
  <c r="U26" i="6"/>
  <c r="U27"/>
  <c r="U28"/>
  <c r="U29"/>
  <c r="U30"/>
  <c r="U31"/>
  <c r="U32"/>
  <c r="U25"/>
  <c r="U10"/>
  <c r="U11"/>
  <c r="U14"/>
  <c r="U15"/>
  <c r="U16"/>
  <c r="U17"/>
  <c r="U18"/>
  <c r="U19"/>
  <c r="U20"/>
  <c r="U21"/>
  <c r="U22"/>
  <c r="U23"/>
  <c r="E20"/>
  <c r="K20"/>
  <c r="M20" s="1"/>
  <c r="X20"/>
  <c r="Y20" s="1"/>
  <c r="AF20"/>
  <c r="E21"/>
  <c r="K21"/>
  <c r="X21"/>
  <c r="Y21" s="1"/>
  <c r="AF21"/>
  <c r="I86" i="5"/>
  <c r="J86"/>
  <c r="K86" s="1"/>
  <c r="U86"/>
  <c r="Y86"/>
  <c r="Z86" s="1"/>
  <c r="J87"/>
  <c r="K87" s="1"/>
  <c r="U87"/>
  <c r="Y87"/>
  <c r="Z87" s="1"/>
  <c r="J63"/>
  <c r="K63" s="1"/>
  <c r="U63"/>
  <c r="Y63"/>
  <c r="Z63" s="1"/>
  <c r="J64"/>
  <c r="U64"/>
  <c r="Y64"/>
  <c r="Z64" s="1"/>
  <c r="I43"/>
  <c r="J43"/>
  <c r="K43" s="1"/>
  <c r="U43"/>
  <c r="Y43"/>
  <c r="Z43" s="1"/>
  <c r="J44"/>
  <c r="U44"/>
  <c r="Y44"/>
  <c r="Z44" s="1"/>
  <c r="U77"/>
  <c r="U78"/>
  <c r="U79"/>
  <c r="U80"/>
  <c r="U81"/>
  <c r="U82"/>
  <c r="U83"/>
  <c r="U84"/>
  <c r="U85"/>
  <c r="U88"/>
  <c r="U89"/>
  <c r="U90"/>
  <c r="U91"/>
  <c r="U76"/>
  <c r="U54"/>
  <c r="U55"/>
  <c r="U56"/>
  <c r="U57"/>
  <c r="U58"/>
  <c r="U59"/>
  <c r="U60"/>
  <c r="U61"/>
  <c r="U62"/>
  <c r="U65"/>
  <c r="U66"/>
  <c r="U67"/>
  <c r="U68"/>
  <c r="U69"/>
  <c r="U70"/>
  <c r="U71"/>
  <c r="U72"/>
  <c r="U73"/>
  <c r="U74"/>
  <c r="U53"/>
  <c r="U34"/>
  <c r="U35"/>
  <c r="U36"/>
  <c r="U37"/>
  <c r="U38"/>
  <c r="U39"/>
  <c r="U40"/>
  <c r="U41"/>
  <c r="U42"/>
  <c r="U45"/>
  <c r="U46"/>
  <c r="U47"/>
  <c r="U48"/>
  <c r="U33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10"/>
  <c r="Y20"/>
  <c r="Z20" s="1"/>
  <c r="Y21"/>
  <c r="Z21" s="1"/>
  <c r="J20"/>
  <c r="K20" s="1"/>
  <c r="J21"/>
  <c r="K21" s="1"/>
  <c r="I21"/>
  <c r="G18" i="4"/>
  <c r="G17"/>
  <c r="G10"/>
  <c r="F32" i="2"/>
  <c r="F31"/>
  <c r="F30"/>
  <c r="F29"/>
  <c r="F28"/>
  <c r="F27"/>
  <c r="F26"/>
  <c r="F25"/>
  <c r="F24"/>
  <c r="F19"/>
  <c r="F18"/>
  <c r="F17"/>
  <c r="F16"/>
  <c r="F15"/>
  <c r="F14"/>
  <c r="F13"/>
  <c r="F12"/>
  <c r="F11"/>
  <c r="F10"/>
  <c r="U18" i="4"/>
  <c r="U21"/>
  <c r="U22"/>
  <c r="U17"/>
  <c r="N21" i="6" l="1"/>
  <c r="M21"/>
  <c r="AH21" s="1"/>
  <c r="L44" i="5"/>
  <c r="K44"/>
  <c r="O44" s="1"/>
  <c r="L64"/>
  <c r="K64"/>
  <c r="O64" s="1"/>
  <c r="I20"/>
  <c r="I63"/>
  <c r="L20"/>
  <c r="O20" s="1"/>
  <c r="L86"/>
  <c r="O86" s="1"/>
  <c r="L63"/>
  <c r="O63" s="1"/>
  <c r="L87"/>
  <c r="O87" s="1"/>
  <c r="I87"/>
  <c r="L21"/>
  <c r="O21" s="1"/>
  <c r="L43"/>
  <c r="O43" s="1"/>
  <c r="AH20" i="6"/>
  <c r="L20"/>
  <c r="N20"/>
  <c r="Z20"/>
  <c r="AA20" s="1"/>
  <c r="Z21"/>
  <c r="AA21" s="1"/>
  <c r="L21"/>
  <c r="AG21"/>
  <c r="AG20"/>
  <c r="AA87" i="5"/>
  <c r="AB87" s="1"/>
  <c r="AA86"/>
  <c r="AB86" s="1"/>
  <c r="AA64"/>
  <c r="AB64" s="1"/>
  <c r="AA63"/>
  <c r="AB63" s="1"/>
  <c r="AA43"/>
  <c r="AB43" s="1"/>
  <c r="AA44"/>
  <c r="AB44" s="1"/>
  <c r="AA20"/>
  <c r="AB20" s="1"/>
  <c r="AA21"/>
  <c r="AB21" s="1"/>
  <c r="T20" i="6" l="1"/>
  <c r="T21"/>
  <c r="S86" i="5"/>
  <c r="W86" s="1"/>
  <c r="T86"/>
  <c r="X86" s="1"/>
  <c r="S87"/>
  <c r="W87" s="1"/>
  <c r="T87"/>
  <c r="X87" s="1"/>
  <c r="S63"/>
  <c r="W63" s="1"/>
  <c r="T63"/>
  <c r="X63" s="1"/>
  <c r="S64"/>
  <c r="W64" s="1"/>
  <c r="T64"/>
  <c r="X64" s="1"/>
  <c r="S43"/>
  <c r="W43" s="1"/>
  <c r="T43"/>
  <c r="X43" s="1"/>
  <c r="S44"/>
  <c r="W44" s="1"/>
  <c r="T44"/>
  <c r="X44" s="1"/>
  <c r="S20"/>
  <c r="W20" s="1"/>
  <c r="AE20" s="1"/>
  <c r="T20"/>
  <c r="X20" s="1"/>
  <c r="AF20" s="1"/>
  <c r="S21"/>
  <c r="W21" s="1"/>
  <c r="AE21" s="1"/>
  <c r="T21"/>
  <c r="X21" s="1"/>
  <c r="AF21" s="1"/>
  <c r="AM20" i="6" l="1"/>
  <c r="AM21"/>
  <c r="AN20"/>
  <c r="AN21"/>
  <c r="U11" i="4"/>
  <c r="U14"/>
  <c r="U15"/>
  <c r="U10"/>
  <c r="J18"/>
  <c r="J21"/>
  <c r="J11"/>
  <c r="J14"/>
  <c r="U21" i="7"/>
  <c r="U22"/>
  <c r="U23"/>
  <c r="U24"/>
  <c r="U25"/>
  <c r="U26"/>
  <c r="U11"/>
  <c r="U12"/>
  <c r="U13"/>
  <c r="U14"/>
  <c r="U15"/>
  <c r="U16"/>
  <c r="U17"/>
  <c r="U18"/>
  <c r="U19"/>
  <c r="U10"/>
  <c r="J11"/>
  <c r="AG13"/>
  <c r="AG17"/>
  <c r="J10"/>
  <c r="U65" i="3"/>
  <c r="U66"/>
  <c r="U67"/>
  <c r="U68"/>
  <c r="U69"/>
  <c r="U70"/>
  <c r="U71"/>
  <c r="U72"/>
  <c r="U73"/>
  <c r="U74"/>
  <c r="U75"/>
  <c r="U64"/>
  <c r="U46"/>
  <c r="U47"/>
  <c r="U48"/>
  <c r="U49"/>
  <c r="U50"/>
  <c r="U51"/>
  <c r="U52"/>
  <c r="U53"/>
  <c r="U54"/>
  <c r="U55"/>
  <c r="U56"/>
  <c r="U57"/>
  <c r="U58"/>
  <c r="U59"/>
  <c r="U60"/>
  <c r="U61"/>
  <c r="U62"/>
  <c r="U45"/>
  <c r="U30"/>
  <c r="U31"/>
  <c r="U32"/>
  <c r="U33"/>
  <c r="U34"/>
  <c r="U35"/>
  <c r="U36"/>
  <c r="U37"/>
  <c r="U38"/>
  <c r="U39"/>
  <c r="U40"/>
  <c r="U29"/>
  <c r="U11"/>
  <c r="U12"/>
  <c r="U13"/>
  <c r="U14"/>
  <c r="U15"/>
  <c r="U16"/>
  <c r="U17"/>
  <c r="U18"/>
  <c r="U19"/>
  <c r="U20"/>
  <c r="U21"/>
  <c r="U22"/>
  <c r="U23"/>
  <c r="U24"/>
  <c r="U25"/>
  <c r="U26"/>
  <c r="U27"/>
  <c r="U10"/>
  <c r="I73"/>
  <c r="I62"/>
  <c r="I30"/>
  <c r="I31"/>
  <c r="I34"/>
  <c r="I36"/>
  <c r="I40"/>
  <c r="I29"/>
  <c r="I11"/>
  <c r="I13"/>
  <c r="I14"/>
  <c r="I15"/>
  <c r="I16"/>
  <c r="I17"/>
  <c r="I19"/>
  <c r="I23"/>
  <c r="I24"/>
  <c r="I25"/>
  <c r="I26"/>
  <c r="I27"/>
  <c r="U25" i="2"/>
  <c r="U26"/>
  <c r="U27"/>
  <c r="U28"/>
  <c r="U29"/>
  <c r="U30"/>
  <c r="U31"/>
  <c r="U32"/>
  <c r="U33"/>
  <c r="U24"/>
  <c r="U11"/>
  <c r="U12"/>
  <c r="U13"/>
  <c r="U14"/>
  <c r="U15"/>
  <c r="U16"/>
  <c r="U17"/>
  <c r="U18"/>
  <c r="U19"/>
  <c r="U10"/>
  <c r="AH25"/>
  <c r="AH26"/>
  <c r="I28"/>
  <c r="AH30"/>
  <c r="AH31"/>
  <c r="I33"/>
  <c r="AH24"/>
  <c r="I12"/>
  <c r="AH13"/>
  <c r="I15"/>
  <c r="AH16"/>
  <c r="I19"/>
  <c r="AG31" i="6"/>
  <c r="AG28"/>
  <c r="AG11"/>
  <c r="I47" i="5"/>
  <c r="I14"/>
  <c r="I18"/>
  <c r="I28"/>
  <c r="I33" i="3"/>
  <c r="I18"/>
  <c r="I21"/>
  <c r="AH32" i="2"/>
  <c r="AH10"/>
  <c r="I18"/>
  <c r="AF26" i="7"/>
  <c r="K26"/>
  <c r="M26" s="1"/>
  <c r="E26"/>
  <c r="J26" s="1"/>
  <c r="AF25"/>
  <c r="K25"/>
  <c r="M25" s="1"/>
  <c r="E25"/>
  <c r="AG25"/>
  <c r="E18"/>
  <c r="K18"/>
  <c r="AF18"/>
  <c r="E19"/>
  <c r="K19"/>
  <c r="AF19"/>
  <c r="S29" i="2"/>
  <c r="S28"/>
  <c r="J29"/>
  <c r="J28"/>
  <c r="K28" s="1"/>
  <c r="S15"/>
  <c r="S14"/>
  <c r="J15"/>
  <c r="J14"/>
  <c r="J33"/>
  <c r="J32"/>
  <c r="J31"/>
  <c r="J30"/>
  <c r="J27"/>
  <c r="T27" s="1"/>
  <c r="J26"/>
  <c r="J25"/>
  <c r="J24"/>
  <c r="J19"/>
  <c r="J18"/>
  <c r="J17"/>
  <c r="J16"/>
  <c r="J13"/>
  <c r="K13" s="1"/>
  <c r="J12"/>
  <c r="J11"/>
  <c r="J10"/>
  <c r="F11" i="9"/>
  <c r="F10"/>
  <c r="I30" i="5"/>
  <c r="S25" i="2"/>
  <c r="S26"/>
  <c r="S27"/>
  <c r="S30"/>
  <c r="S31"/>
  <c r="S32"/>
  <c r="S33"/>
  <c r="S24"/>
  <c r="S11"/>
  <c r="S12"/>
  <c r="S13"/>
  <c r="S16"/>
  <c r="S17"/>
  <c r="S18"/>
  <c r="S19"/>
  <c r="S10"/>
  <c r="I84" i="5"/>
  <c r="I85"/>
  <c r="I61"/>
  <c r="I62"/>
  <c r="I45"/>
  <c r="I35"/>
  <c r="I36"/>
  <c r="I39"/>
  <c r="I40"/>
  <c r="I26"/>
  <c r="I22"/>
  <c r="I12"/>
  <c r="I16"/>
  <c r="I32" i="3"/>
  <c r="I10"/>
  <c r="X10" i="8"/>
  <c r="Y10" s="1"/>
  <c r="X11"/>
  <c r="Y11" s="1"/>
  <c r="X12"/>
  <c r="Y12" s="1"/>
  <c r="X13"/>
  <c r="Y13" s="1"/>
  <c r="E11"/>
  <c r="J11" s="1"/>
  <c r="M10"/>
  <c r="E10"/>
  <c r="J10" s="1"/>
  <c r="Y10" i="2"/>
  <c r="Z10" s="1"/>
  <c r="AA10" s="1"/>
  <c r="AB10" s="1"/>
  <c r="Y33"/>
  <c r="Z33" s="1"/>
  <c r="AA33" s="1"/>
  <c r="AB33" s="1"/>
  <c r="Y32"/>
  <c r="Z32" s="1"/>
  <c r="AA32" s="1"/>
  <c r="AB32" s="1"/>
  <c r="Y31"/>
  <c r="Z31" s="1"/>
  <c r="AA31" s="1"/>
  <c r="Y30"/>
  <c r="Z30" s="1"/>
  <c r="AA30" s="1"/>
  <c r="AB30" s="1"/>
  <c r="Y27"/>
  <c r="Z27" s="1"/>
  <c r="AA27" s="1"/>
  <c r="AB27" s="1"/>
  <c r="Y26"/>
  <c r="Z26" s="1"/>
  <c r="AA26" s="1"/>
  <c r="Y25"/>
  <c r="Z25" s="1"/>
  <c r="AA25" s="1"/>
  <c r="Y24"/>
  <c r="Z24" s="1"/>
  <c r="AA24" s="1"/>
  <c r="AB24" s="1"/>
  <c r="Y11"/>
  <c r="Z11" s="1"/>
  <c r="AA11" s="1"/>
  <c r="AB11" s="1"/>
  <c r="Y12"/>
  <c r="Z12" s="1"/>
  <c r="AA12" s="1"/>
  <c r="AB12" s="1"/>
  <c r="Y13"/>
  <c r="Z13" s="1"/>
  <c r="AA13" s="1"/>
  <c r="AB13" s="1"/>
  <c r="Y16"/>
  <c r="Y17"/>
  <c r="Z17" s="1"/>
  <c r="AA17" s="1"/>
  <c r="AB17" s="1"/>
  <c r="Y18"/>
  <c r="Z18" s="1"/>
  <c r="Y19"/>
  <c r="Z19" s="1"/>
  <c r="AA19" s="1"/>
  <c r="AB19" s="1"/>
  <c r="AG21" i="7"/>
  <c r="AG23"/>
  <c r="AF11"/>
  <c r="AF12"/>
  <c r="AF13"/>
  <c r="AF14"/>
  <c r="AF15"/>
  <c r="AF16"/>
  <c r="AF17"/>
  <c r="AF21"/>
  <c r="AF22"/>
  <c r="AF23"/>
  <c r="AF24"/>
  <c r="AF10"/>
  <c r="AG11" i="2"/>
  <c r="AG12"/>
  <c r="AG13"/>
  <c r="AG16"/>
  <c r="AG17"/>
  <c r="AG18"/>
  <c r="AG19"/>
  <c r="AG10"/>
  <c r="AD33"/>
  <c r="AG33" s="1"/>
  <c r="AD32"/>
  <c r="AG32" s="1"/>
  <c r="AD31"/>
  <c r="AG31" s="1"/>
  <c r="AD30"/>
  <c r="AG30" s="1"/>
  <c r="AD27"/>
  <c r="AG27" s="1"/>
  <c r="AD26"/>
  <c r="AG26" s="1"/>
  <c r="AD25"/>
  <c r="AG25" s="1"/>
  <c r="AD24"/>
  <c r="AG24" s="1"/>
  <c r="AG15" i="6"/>
  <c r="AG16"/>
  <c r="AG18"/>
  <c r="AF32"/>
  <c r="AF31"/>
  <c r="AF30"/>
  <c r="AF29"/>
  <c r="AF28"/>
  <c r="AF27"/>
  <c r="AF26"/>
  <c r="AF25"/>
  <c r="AF10"/>
  <c r="AF11"/>
  <c r="AF14"/>
  <c r="AF15"/>
  <c r="AF16"/>
  <c r="AF17"/>
  <c r="AF18"/>
  <c r="AF19"/>
  <c r="AF22"/>
  <c r="AF23"/>
  <c r="Y53" i="3"/>
  <c r="Z53" s="1"/>
  <c r="AA53" s="1"/>
  <c r="AB53" s="1"/>
  <c r="Y54"/>
  <c r="Z54" s="1"/>
  <c r="AA54" s="1"/>
  <c r="AB54" s="1"/>
  <c r="J54"/>
  <c r="J53"/>
  <c r="Y73"/>
  <c r="Z73" s="1"/>
  <c r="AA73" s="1"/>
  <c r="AB73" s="1"/>
  <c r="T73" s="1"/>
  <c r="J73"/>
  <c r="Y72"/>
  <c r="Z72" s="1"/>
  <c r="AA72" s="1"/>
  <c r="AB72" s="1"/>
  <c r="J72"/>
  <c r="J60"/>
  <c r="Y37"/>
  <c r="Z37" s="1"/>
  <c r="AA37" s="1"/>
  <c r="AB37" s="1"/>
  <c r="T37" s="1"/>
  <c r="Y38"/>
  <c r="Z38" s="1"/>
  <c r="J38"/>
  <c r="J37"/>
  <c r="Y19"/>
  <c r="Z19" s="1"/>
  <c r="AA19" s="1"/>
  <c r="Y18"/>
  <c r="Z18" s="1"/>
  <c r="AA18" s="1"/>
  <c r="AB18" s="1"/>
  <c r="Y60"/>
  <c r="Z60" s="1"/>
  <c r="AA60" s="1"/>
  <c r="J19"/>
  <c r="J18"/>
  <c r="Y25"/>
  <c r="Z25" s="1"/>
  <c r="AA25" s="1"/>
  <c r="J25"/>
  <c r="Y24"/>
  <c r="Z24" s="1"/>
  <c r="AA24" s="1"/>
  <c r="AB24" s="1"/>
  <c r="J24"/>
  <c r="D17" i="9"/>
  <c r="E17" s="1"/>
  <c r="D16"/>
  <c r="E16" s="1"/>
  <c r="U11"/>
  <c r="V11" s="1"/>
  <c r="W11" s="1"/>
  <c r="J11"/>
  <c r="K11" s="1"/>
  <c r="I11"/>
  <c r="U10"/>
  <c r="V10" s="1"/>
  <c r="W10" s="1"/>
  <c r="X10" s="1"/>
  <c r="J10"/>
  <c r="K10" s="1"/>
  <c r="I10"/>
  <c r="Y85" i="5"/>
  <c r="Z85" s="1"/>
  <c r="AA85" s="1"/>
  <c r="J85"/>
  <c r="K85" s="1"/>
  <c r="Y84"/>
  <c r="Z84" s="1"/>
  <c r="AA84" s="1"/>
  <c r="AB84" s="1"/>
  <c r="J84"/>
  <c r="K84" s="1"/>
  <c r="Y62"/>
  <c r="Z62" s="1"/>
  <c r="AA62" s="1"/>
  <c r="J62"/>
  <c r="K62" s="1"/>
  <c r="Y61"/>
  <c r="Z61" s="1"/>
  <c r="AA61" s="1"/>
  <c r="AB61" s="1"/>
  <c r="J61"/>
  <c r="K61" s="1"/>
  <c r="Y19"/>
  <c r="Z19" s="1"/>
  <c r="Y18"/>
  <c r="Z18" s="1"/>
  <c r="AA18" s="1"/>
  <c r="Y42"/>
  <c r="Z42" s="1"/>
  <c r="AA42" s="1"/>
  <c r="Y41"/>
  <c r="Z41" s="1"/>
  <c r="AA41" s="1"/>
  <c r="AB41" s="1"/>
  <c r="T41" s="1"/>
  <c r="J41"/>
  <c r="K41" s="1"/>
  <c r="J42"/>
  <c r="K42" s="1"/>
  <c r="J18"/>
  <c r="K18" s="1"/>
  <c r="J19"/>
  <c r="K19" s="1"/>
  <c r="J10"/>
  <c r="K10" s="1"/>
  <c r="Y10"/>
  <c r="Z10" s="1"/>
  <c r="AA10" s="1"/>
  <c r="AB10" s="1"/>
  <c r="J11"/>
  <c r="K11" s="1"/>
  <c r="Y11"/>
  <c r="Z11" s="1"/>
  <c r="AA11" s="1"/>
  <c r="J12"/>
  <c r="K12" s="1"/>
  <c r="Y12"/>
  <c r="Z12" s="1"/>
  <c r="AA12" s="1"/>
  <c r="AB12" s="1"/>
  <c r="J13"/>
  <c r="K13" s="1"/>
  <c r="Y13"/>
  <c r="Z13" s="1"/>
  <c r="J14"/>
  <c r="K14" s="1"/>
  <c r="Y14"/>
  <c r="Z14" s="1"/>
  <c r="AA14" s="1"/>
  <c r="J15"/>
  <c r="K15" s="1"/>
  <c r="Y15"/>
  <c r="Z15" s="1"/>
  <c r="AA15" s="1"/>
  <c r="J16"/>
  <c r="K16" s="1"/>
  <c r="Y16"/>
  <c r="Z16" s="1"/>
  <c r="AA16" s="1"/>
  <c r="AB16" s="1"/>
  <c r="J17"/>
  <c r="K17" s="1"/>
  <c r="Y17"/>
  <c r="Z17" s="1"/>
  <c r="AA17" s="1"/>
  <c r="AB17" s="1"/>
  <c r="J22"/>
  <c r="K22" s="1"/>
  <c r="Y22"/>
  <c r="Z22" s="1"/>
  <c r="AA22" s="1"/>
  <c r="J23"/>
  <c r="K23" s="1"/>
  <c r="Y23"/>
  <c r="Z23" s="1"/>
  <c r="AA23" s="1"/>
  <c r="AB23" s="1"/>
  <c r="J24"/>
  <c r="K24" s="1"/>
  <c r="Y24"/>
  <c r="Z24" s="1"/>
  <c r="AA24" s="1"/>
  <c r="AB24" s="1"/>
  <c r="J25"/>
  <c r="K25" s="1"/>
  <c r="Y25"/>
  <c r="Z25" s="1"/>
  <c r="AA25" s="1"/>
  <c r="J26"/>
  <c r="K26" s="1"/>
  <c r="Y26"/>
  <c r="Z26" s="1"/>
  <c r="AA26" s="1"/>
  <c r="J27"/>
  <c r="K27" s="1"/>
  <c r="Y27"/>
  <c r="Z27" s="1"/>
  <c r="J28"/>
  <c r="K28" s="1"/>
  <c r="Y28"/>
  <c r="Z28" s="1"/>
  <c r="AA28" s="1"/>
  <c r="AB28" s="1"/>
  <c r="J29"/>
  <c r="K29" s="1"/>
  <c r="Y29"/>
  <c r="Z29" s="1"/>
  <c r="AA29" s="1"/>
  <c r="AB29" s="1"/>
  <c r="J30"/>
  <c r="K30" s="1"/>
  <c r="Y30"/>
  <c r="Z30" s="1"/>
  <c r="AA30" s="1"/>
  <c r="AB30" s="1"/>
  <c r="S30" s="1"/>
  <c r="J31"/>
  <c r="K31" s="1"/>
  <c r="Y31"/>
  <c r="Z31" s="1"/>
  <c r="AA31" s="1"/>
  <c r="J33"/>
  <c r="K33" s="1"/>
  <c r="Y33"/>
  <c r="Z33" s="1"/>
  <c r="AA33" s="1"/>
  <c r="AB33" s="1"/>
  <c r="J34"/>
  <c r="K34" s="1"/>
  <c r="Y34"/>
  <c r="Z34" s="1"/>
  <c r="J35"/>
  <c r="K35" s="1"/>
  <c r="Y35"/>
  <c r="Z35" s="1"/>
  <c r="AA35" s="1"/>
  <c r="AB35" s="1"/>
  <c r="T35" s="1"/>
  <c r="J36"/>
  <c r="K36" s="1"/>
  <c r="Y36"/>
  <c r="Z36" s="1"/>
  <c r="AA36" s="1"/>
  <c r="AB36" s="1"/>
  <c r="T36" s="1"/>
  <c r="J37"/>
  <c r="K37" s="1"/>
  <c r="Y37"/>
  <c r="Z37" s="1"/>
  <c r="J38"/>
  <c r="K38" s="1"/>
  <c r="Y38"/>
  <c r="Z38" s="1"/>
  <c r="J39"/>
  <c r="K39" s="1"/>
  <c r="Y39"/>
  <c r="Z39" s="1"/>
  <c r="AA39" s="1"/>
  <c r="J40"/>
  <c r="K40" s="1"/>
  <c r="Y40"/>
  <c r="Z40" s="1"/>
  <c r="AA40" s="1"/>
  <c r="J45"/>
  <c r="K45" s="1"/>
  <c r="Y45"/>
  <c r="Z45" s="1"/>
  <c r="AA45" s="1"/>
  <c r="J46"/>
  <c r="K46" s="1"/>
  <c r="Y46"/>
  <c r="Z46" s="1"/>
  <c r="AA46" s="1"/>
  <c r="AB46" s="1"/>
  <c r="J47"/>
  <c r="K47" s="1"/>
  <c r="Y47"/>
  <c r="Z47" s="1"/>
  <c r="J48"/>
  <c r="K48" s="1"/>
  <c r="Y48"/>
  <c r="Z48" s="1"/>
  <c r="AA48" s="1"/>
  <c r="AB48" s="1"/>
  <c r="J68"/>
  <c r="K68" s="1"/>
  <c r="J71"/>
  <c r="K71" s="1"/>
  <c r="Y76"/>
  <c r="Z76" s="1"/>
  <c r="J88"/>
  <c r="K88" s="1"/>
  <c r="J89"/>
  <c r="K89" s="1"/>
  <c r="Z16" i="2"/>
  <c r="AA16" s="1"/>
  <c r="AB16" s="1"/>
  <c r="K10" i="7"/>
  <c r="X10"/>
  <c r="Y10" s="1"/>
  <c r="Z10" s="1"/>
  <c r="K11"/>
  <c r="X11"/>
  <c r="Y11" s="1"/>
  <c r="Z11" s="1"/>
  <c r="AA11" s="1"/>
  <c r="E12"/>
  <c r="K12"/>
  <c r="M12" s="1"/>
  <c r="X12"/>
  <c r="Y12" s="1"/>
  <c r="Z12" s="1"/>
  <c r="AA12" s="1"/>
  <c r="E13"/>
  <c r="K13"/>
  <c r="X13"/>
  <c r="Y13" s="1"/>
  <c r="Z13" s="1"/>
  <c r="AA13" s="1"/>
  <c r="E14"/>
  <c r="K14"/>
  <c r="M14" s="1"/>
  <c r="X14"/>
  <c r="Y14" s="1"/>
  <c r="Z14" s="1"/>
  <c r="E15"/>
  <c r="K15"/>
  <c r="E16"/>
  <c r="K16"/>
  <c r="X16"/>
  <c r="Y16" s="1"/>
  <c r="Z16" s="1"/>
  <c r="AA16" s="1"/>
  <c r="T16" s="1"/>
  <c r="E17"/>
  <c r="K17"/>
  <c r="E21"/>
  <c r="J21" s="1"/>
  <c r="K21"/>
  <c r="M21" s="1"/>
  <c r="X21"/>
  <c r="Y21" s="1"/>
  <c r="Z21" s="1"/>
  <c r="AA21" s="1"/>
  <c r="T21" s="1"/>
  <c r="E22"/>
  <c r="J22" s="1"/>
  <c r="K22"/>
  <c r="M22" s="1"/>
  <c r="E23"/>
  <c r="J23" s="1"/>
  <c r="K23"/>
  <c r="M23" s="1"/>
  <c r="E24"/>
  <c r="J24" s="1"/>
  <c r="K24"/>
  <c r="M24" s="1"/>
  <c r="K10" i="6"/>
  <c r="M10" s="1"/>
  <c r="X10"/>
  <c r="Y10" s="1"/>
  <c r="K11"/>
  <c r="M11" s="1"/>
  <c r="X11"/>
  <c r="Y11" s="1"/>
  <c r="E14"/>
  <c r="K14"/>
  <c r="M14" s="1"/>
  <c r="X14"/>
  <c r="Y14" s="1"/>
  <c r="Z14" s="1"/>
  <c r="AA14" s="1"/>
  <c r="E15"/>
  <c r="K15"/>
  <c r="M15" s="1"/>
  <c r="X15"/>
  <c r="Y15" s="1"/>
  <c r="Z15" s="1"/>
  <c r="E16"/>
  <c r="K16"/>
  <c r="M16" s="1"/>
  <c r="X16"/>
  <c r="Y16" s="1"/>
  <c r="Z16" s="1"/>
  <c r="AA16" s="1"/>
  <c r="E17"/>
  <c r="K17"/>
  <c r="M17" s="1"/>
  <c r="X17"/>
  <c r="Y17" s="1"/>
  <c r="Z17" s="1"/>
  <c r="E18"/>
  <c r="K18"/>
  <c r="M18" s="1"/>
  <c r="X18"/>
  <c r="Y18" s="1"/>
  <c r="Z18" s="1"/>
  <c r="AA18" s="1"/>
  <c r="E19"/>
  <c r="K19"/>
  <c r="M19" s="1"/>
  <c r="X19"/>
  <c r="Y19" s="1"/>
  <c r="Z19" s="1"/>
  <c r="E22"/>
  <c r="K22"/>
  <c r="M22" s="1"/>
  <c r="X22"/>
  <c r="Y22" s="1"/>
  <c r="Z22" s="1"/>
  <c r="E23"/>
  <c r="K23"/>
  <c r="M23" s="1"/>
  <c r="X23"/>
  <c r="Y23" s="1"/>
  <c r="Z23" s="1"/>
  <c r="E25"/>
  <c r="K25"/>
  <c r="M25" s="1"/>
  <c r="X25"/>
  <c r="Y25" s="1"/>
  <c r="Z25" s="1"/>
  <c r="AA25" s="1"/>
  <c r="E26"/>
  <c r="K26"/>
  <c r="E27"/>
  <c r="K27"/>
  <c r="M27" s="1"/>
  <c r="X27"/>
  <c r="Y27" s="1"/>
  <c r="Z27" s="1"/>
  <c r="AA27" s="1"/>
  <c r="E28"/>
  <c r="K28"/>
  <c r="M28" s="1"/>
  <c r="X28"/>
  <c r="Y28" s="1"/>
  <c r="Z28" s="1"/>
  <c r="E29"/>
  <c r="K29"/>
  <c r="M29" s="1"/>
  <c r="X29"/>
  <c r="Y29" s="1"/>
  <c r="E30"/>
  <c r="K30"/>
  <c r="M30" s="1"/>
  <c r="X30"/>
  <c r="Y30" s="1"/>
  <c r="Z30" s="1"/>
  <c r="E31"/>
  <c r="K31"/>
  <c r="M31" s="1"/>
  <c r="X31"/>
  <c r="Y31" s="1"/>
  <c r="E32"/>
  <c r="K32"/>
  <c r="M32" s="1"/>
  <c r="X32"/>
  <c r="Y32" s="1"/>
  <c r="Z32" s="1"/>
  <c r="AA32" s="1"/>
  <c r="E12" i="8"/>
  <c r="J12" s="1"/>
  <c r="E13"/>
  <c r="J13" s="1"/>
  <c r="J10" i="3"/>
  <c r="Y10"/>
  <c r="Z10" s="1"/>
  <c r="J11"/>
  <c r="Y11"/>
  <c r="Z11" s="1"/>
  <c r="AA11" s="1"/>
  <c r="J12"/>
  <c r="Y12"/>
  <c r="Z12" s="1"/>
  <c r="AA12" s="1"/>
  <c r="AB12" s="1"/>
  <c r="J13"/>
  <c r="Y13"/>
  <c r="Z13" s="1"/>
  <c r="AA13" s="1"/>
  <c r="AB13" s="1"/>
  <c r="J14"/>
  <c r="Y14"/>
  <c r="Z14" s="1"/>
  <c r="AA14" s="1"/>
  <c r="AB14" s="1"/>
  <c r="J15"/>
  <c r="Y15"/>
  <c r="Z15" s="1"/>
  <c r="AA15" s="1"/>
  <c r="AB15" s="1"/>
  <c r="J16"/>
  <c r="Y16"/>
  <c r="Z16" s="1"/>
  <c r="J17"/>
  <c r="Y17"/>
  <c r="Z17" s="1"/>
  <c r="AA17" s="1"/>
  <c r="AB17" s="1"/>
  <c r="J20"/>
  <c r="Y20"/>
  <c r="Z20" s="1"/>
  <c r="J21"/>
  <c r="Y21"/>
  <c r="Z21" s="1"/>
  <c r="AA21" s="1"/>
  <c r="J22"/>
  <c r="Y22"/>
  <c r="Z22" s="1"/>
  <c r="AA22" s="1"/>
  <c r="AB22" s="1"/>
  <c r="J23"/>
  <c r="Y23"/>
  <c r="Z23" s="1"/>
  <c r="J26"/>
  <c r="Y26"/>
  <c r="Z26" s="1"/>
  <c r="AA26" s="1"/>
  <c r="AB26" s="1"/>
  <c r="J27"/>
  <c r="Y27"/>
  <c r="Z27" s="1"/>
  <c r="J29"/>
  <c r="Y29"/>
  <c r="Z29" s="1"/>
  <c r="AA29" s="1"/>
  <c r="J30"/>
  <c r="Y30"/>
  <c r="Z30" s="1"/>
  <c r="AA30" s="1"/>
  <c r="J31"/>
  <c r="Y31"/>
  <c r="Z31" s="1"/>
  <c r="J32"/>
  <c r="Y32"/>
  <c r="Z32" s="1"/>
  <c r="AA32" s="1"/>
  <c r="AB32" s="1"/>
  <c r="S32" s="1"/>
  <c r="J33"/>
  <c r="Y33"/>
  <c r="Z33" s="1"/>
  <c r="AA33" s="1"/>
  <c r="AB33" s="1"/>
  <c r="J34"/>
  <c r="Y34"/>
  <c r="Z34" s="1"/>
  <c r="J35"/>
  <c r="Y35"/>
  <c r="Z35" s="1"/>
  <c r="J36"/>
  <c r="Y36"/>
  <c r="Z36" s="1"/>
  <c r="AA36" s="1"/>
  <c r="J39"/>
  <c r="Y39"/>
  <c r="Z39" s="1"/>
  <c r="J40"/>
  <c r="Y40"/>
  <c r="Z40" s="1"/>
  <c r="AA40" s="1"/>
  <c r="J52"/>
  <c r="J61"/>
  <c r="J62"/>
  <c r="Y70"/>
  <c r="Z70" s="1"/>
  <c r="X10" i="4"/>
  <c r="Y10" s="1"/>
  <c r="Z10" s="1"/>
  <c r="AA10" s="1"/>
  <c r="K11"/>
  <c r="X11"/>
  <c r="Y11" s="1"/>
  <c r="X14"/>
  <c r="Y14" s="1"/>
  <c r="Z14" s="1"/>
  <c r="X15"/>
  <c r="Y15" s="1"/>
  <c r="Z15" s="1"/>
  <c r="K17"/>
  <c r="X17"/>
  <c r="Y17" s="1"/>
  <c r="K18"/>
  <c r="X18"/>
  <c r="Y18" s="1"/>
  <c r="Z18" s="1"/>
  <c r="AA18" s="1"/>
  <c r="K21"/>
  <c r="X21"/>
  <c r="Y21" s="1"/>
  <c r="Z21" s="1"/>
  <c r="K22"/>
  <c r="X22"/>
  <c r="Y22" s="1"/>
  <c r="Z22" s="1"/>
  <c r="Y51" i="3"/>
  <c r="Z51" s="1"/>
  <c r="AA51" s="1"/>
  <c r="AB51" s="1"/>
  <c r="J70" i="5"/>
  <c r="K70" s="1"/>
  <c r="Y66"/>
  <c r="Z66" s="1"/>
  <c r="Y54"/>
  <c r="Z54" s="1"/>
  <c r="J54"/>
  <c r="K54" s="1"/>
  <c r="J72"/>
  <c r="K72" s="1"/>
  <c r="Y80"/>
  <c r="Z80" s="1"/>
  <c r="J76"/>
  <c r="K76" s="1"/>
  <c r="Y78"/>
  <c r="Z78" s="1"/>
  <c r="AA78" s="1"/>
  <c r="J91"/>
  <c r="K91" s="1"/>
  <c r="J83"/>
  <c r="K83" s="1"/>
  <c r="J58"/>
  <c r="K58" s="1"/>
  <c r="J56"/>
  <c r="K56" s="1"/>
  <c r="J74"/>
  <c r="K74" s="1"/>
  <c r="J69"/>
  <c r="K69" s="1"/>
  <c r="Y56"/>
  <c r="Z56" s="1"/>
  <c r="AA56" s="1"/>
  <c r="Y62" i="3"/>
  <c r="Z62" s="1"/>
  <c r="AA62" s="1"/>
  <c r="AB62" s="1"/>
  <c r="J73" i="5"/>
  <c r="K73" s="1"/>
  <c r="Y73"/>
  <c r="Z73" s="1"/>
  <c r="AA13"/>
  <c r="AB13" s="1"/>
  <c r="T13" s="1"/>
  <c r="J65" i="3"/>
  <c r="Y65"/>
  <c r="Z65" s="1"/>
  <c r="AA65" s="1"/>
  <c r="J57" i="5"/>
  <c r="K57" s="1"/>
  <c r="Y55"/>
  <c r="Z55" s="1"/>
  <c r="AA55" s="1"/>
  <c r="AB55" s="1"/>
  <c r="J71" i="3"/>
  <c r="Y52"/>
  <c r="Z52" s="1"/>
  <c r="AA52" s="1"/>
  <c r="Y83" i="5"/>
  <c r="Z83" s="1"/>
  <c r="AA83" s="1"/>
  <c r="J51" i="3"/>
  <c r="Y91" i="5"/>
  <c r="Z91" s="1"/>
  <c r="J82"/>
  <c r="K82" s="1"/>
  <c r="J66"/>
  <c r="K66" s="1"/>
  <c r="J48" i="3"/>
  <c r="Y69"/>
  <c r="Z69" s="1"/>
  <c r="AA69" s="1"/>
  <c r="Y68" i="5"/>
  <c r="Z68" s="1"/>
  <c r="Y61" i="3"/>
  <c r="Z61" s="1"/>
  <c r="AA61" s="1"/>
  <c r="AB61" s="1"/>
  <c r="T61" s="1"/>
  <c r="AB21"/>
  <c r="Y65" i="5"/>
  <c r="Z65" s="1"/>
  <c r="Y72"/>
  <c r="Z72" s="1"/>
  <c r="Y77"/>
  <c r="Z77" s="1"/>
  <c r="AA77" s="1"/>
  <c r="V21" i="7" l="1"/>
  <c r="N22" i="4"/>
  <c r="M22"/>
  <c r="L22"/>
  <c r="N15"/>
  <c r="M15"/>
  <c r="L36" i="3"/>
  <c r="O36" s="1"/>
  <c r="K36"/>
  <c r="L32"/>
  <c r="K32"/>
  <c r="L27"/>
  <c r="O27" s="1"/>
  <c r="K27"/>
  <c r="L15"/>
  <c r="K15"/>
  <c r="O15" s="1"/>
  <c r="N16" i="7"/>
  <c r="M16"/>
  <c r="AH16" s="1"/>
  <c r="L18" i="2"/>
  <c r="K18"/>
  <c r="AI18" s="1"/>
  <c r="L48" i="3"/>
  <c r="K48"/>
  <c r="L61"/>
  <c r="K61"/>
  <c r="L26" i="6"/>
  <c r="M26"/>
  <c r="AH26" s="1"/>
  <c r="N17" i="7"/>
  <c r="M17"/>
  <c r="N13"/>
  <c r="M13"/>
  <c r="AH13" s="1"/>
  <c r="N10"/>
  <c r="M10"/>
  <c r="AH10" s="1"/>
  <c r="L24" i="3"/>
  <c r="K24"/>
  <c r="L18"/>
  <c r="K18"/>
  <c r="L73"/>
  <c r="K73"/>
  <c r="L19" i="2"/>
  <c r="K19"/>
  <c r="AI19" s="1"/>
  <c r="N19" i="7"/>
  <c r="M19"/>
  <c r="AH19" s="1"/>
  <c r="L62" i="3"/>
  <c r="K62"/>
  <c r="L54"/>
  <c r="K54"/>
  <c r="O54" s="1"/>
  <c r="L12" i="2"/>
  <c r="K12"/>
  <c r="N18" i="7"/>
  <c r="M18"/>
  <c r="AH18" s="1"/>
  <c r="AB25" i="3"/>
  <c r="L51"/>
  <c r="K51"/>
  <c r="L71"/>
  <c r="O71" s="1"/>
  <c r="K71"/>
  <c r="L65"/>
  <c r="K65"/>
  <c r="O65" s="1"/>
  <c r="N21" i="4"/>
  <c r="M21"/>
  <c r="L21"/>
  <c r="N17"/>
  <c r="M17"/>
  <c r="N14"/>
  <c r="M14"/>
  <c r="N10"/>
  <c r="M10"/>
  <c r="L52" i="3"/>
  <c r="K52"/>
  <c r="O52" s="1"/>
  <c r="L39"/>
  <c r="O39" s="1"/>
  <c r="K39"/>
  <c r="L35"/>
  <c r="K35"/>
  <c r="L33"/>
  <c r="K33"/>
  <c r="L31"/>
  <c r="K31"/>
  <c r="L29"/>
  <c r="K29"/>
  <c r="L26"/>
  <c r="K26"/>
  <c r="O26" s="1"/>
  <c r="L22"/>
  <c r="K22"/>
  <c r="L20"/>
  <c r="K20"/>
  <c r="L16"/>
  <c r="K16"/>
  <c r="L14"/>
  <c r="K14"/>
  <c r="L12"/>
  <c r="K12"/>
  <c r="L10"/>
  <c r="K10"/>
  <c r="L19"/>
  <c r="O19" s="1"/>
  <c r="K19"/>
  <c r="L37"/>
  <c r="K37"/>
  <c r="L60"/>
  <c r="O60" s="1"/>
  <c r="K60"/>
  <c r="L10" i="2"/>
  <c r="K10"/>
  <c r="AI10" s="1"/>
  <c r="L16"/>
  <c r="K16"/>
  <c r="L14"/>
  <c r="K14"/>
  <c r="O14" s="1"/>
  <c r="N18" i="4"/>
  <c r="M18"/>
  <c r="N11"/>
  <c r="M11"/>
  <c r="L40" i="3"/>
  <c r="K40"/>
  <c r="L34"/>
  <c r="O34" s="1"/>
  <c r="K34"/>
  <c r="L30"/>
  <c r="K30"/>
  <c r="L23"/>
  <c r="O23" s="1"/>
  <c r="K23"/>
  <c r="L21"/>
  <c r="K21"/>
  <c r="O21" s="1"/>
  <c r="L17"/>
  <c r="O17" s="1"/>
  <c r="K17"/>
  <c r="L13"/>
  <c r="K13"/>
  <c r="O13" s="1"/>
  <c r="L11"/>
  <c r="O11" s="1"/>
  <c r="K11"/>
  <c r="N15" i="7"/>
  <c r="M15"/>
  <c r="AH15" s="1"/>
  <c r="N11"/>
  <c r="M11"/>
  <c r="AH11" s="1"/>
  <c r="L25" i="3"/>
  <c r="K25"/>
  <c r="O25" s="1"/>
  <c r="L38"/>
  <c r="O38" s="1"/>
  <c r="K38"/>
  <c r="L72"/>
  <c r="K72"/>
  <c r="L53"/>
  <c r="K53"/>
  <c r="L11" i="2"/>
  <c r="K11"/>
  <c r="O11" s="1"/>
  <c r="L17"/>
  <c r="O17" s="1"/>
  <c r="X17" s="1"/>
  <c r="AO17" s="1"/>
  <c r="K17"/>
  <c r="L15"/>
  <c r="K15"/>
  <c r="O15" s="1"/>
  <c r="L31"/>
  <c r="O31" s="1"/>
  <c r="K31"/>
  <c r="AI31" s="1"/>
  <c r="L24"/>
  <c r="K24"/>
  <c r="AI24" s="1"/>
  <c r="L30"/>
  <c r="K30"/>
  <c r="L29"/>
  <c r="K29"/>
  <c r="L27"/>
  <c r="K27"/>
  <c r="L33"/>
  <c r="K33"/>
  <c r="AI33" s="1"/>
  <c r="L25"/>
  <c r="K25"/>
  <c r="AI25" s="1"/>
  <c r="L26"/>
  <c r="K26"/>
  <c r="AI26" s="1"/>
  <c r="L32"/>
  <c r="O32" s="1"/>
  <c r="X32" s="1"/>
  <c r="K32"/>
  <c r="AI32" s="1"/>
  <c r="T18"/>
  <c r="T32"/>
  <c r="T11"/>
  <c r="T26"/>
  <c r="AA23" i="6"/>
  <c r="S13" i="5"/>
  <c r="T19" i="2"/>
  <c r="AB42" i="5"/>
  <c r="S42" s="1"/>
  <c r="T33" i="2"/>
  <c r="T17"/>
  <c r="AK21" i="7"/>
  <c r="W32" i="3"/>
  <c r="AR32" s="1"/>
  <c r="W19" i="2"/>
  <c r="AN19" s="1"/>
  <c r="W15"/>
  <c r="AN15" s="1"/>
  <c r="O12"/>
  <c r="O40" i="3"/>
  <c r="J14" i="7"/>
  <c r="L18"/>
  <c r="W28" i="2"/>
  <c r="J19" i="7"/>
  <c r="AH17"/>
  <c r="L58" i="5"/>
  <c r="L76"/>
  <c r="L54"/>
  <c r="N32" i="6"/>
  <c r="L28"/>
  <c r="N28"/>
  <c r="N23"/>
  <c r="AH23"/>
  <c r="L17"/>
  <c r="N17"/>
  <c r="AH17"/>
  <c r="N10"/>
  <c r="AH10"/>
  <c r="N23" i="7"/>
  <c r="L14"/>
  <c r="N14"/>
  <c r="L48" i="5"/>
  <c r="L46"/>
  <c r="L40"/>
  <c r="L38"/>
  <c r="O38" s="1"/>
  <c r="L36"/>
  <c r="L34"/>
  <c r="L31"/>
  <c r="L29"/>
  <c r="O29" s="1"/>
  <c r="L27"/>
  <c r="L25"/>
  <c r="L23"/>
  <c r="L17"/>
  <c r="L15"/>
  <c r="O15" s="1"/>
  <c r="L13"/>
  <c r="L11"/>
  <c r="L18"/>
  <c r="W18" i="2"/>
  <c r="AN18" s="1"/>
  <c r="W33"/>
  <c r="X11" i="9"/>
  <c r="L66" i="5"/>
  <c r="L73"/>
  <c r="L69"/>
  <c r="O69" s="1"/>
  <c r="L83"/>
  <c r="N29" i="6"/>
  <c r="AH25"/>
  <c r="N25"/>
  <c r="N18"/>
  <c r="AH18"/>
  <c r="N14"/>
  <c r="AH24" i="7"/>
  <c r="N24"/>
  <c r="L71" i="5"/>
  <c r="L42"/>
  <c r="O42" s="1"/>
  <c r="L62"/>
  <c r="L85"/>
  <c r="T30" i="2"/>
  <c r="W30" i="5"/>
  <c r="AE30" s="1"/>
  <c r="T28" i="2"/>
  <c r="L28"/>
  <c r="O28" s="1"/>
  <c r="AB29" i="3"/>
  <c r="L57" i="5"/>
  <c r="AA14" i="4"/>
  <c r="T14" s="1"/>
  <c r="AD14" s="1"/>
  <c r="L74" i="5"/>
  <c r="L91"/>
  <c r="L72"/>
  <c r="N30" i="6"/>
  <c r="AH30"/>
  <c r="N26"/>
  <c r="L19"/>
  <c r="N19"/>
  <c r="AH19"/>
  <c r="L15"/>
  <c r="N15"/>
  <c r="AH15"/>
  <c r="AH11"/>
  <c r="N11"/>
  <c r="AH21" i="7"/>
  <c r="N21"/>
  <c r="L12"/>
  <c r="N12"/>
  <c r="L89" i="5"/>
  <c r="L68"/>
  <c r="L47"/>
  <c r="L45"/>
  <c r="L39"/>
  <c r="L37"/>
  <c r="L35"/>
  <c r="L33"/>
  <c r="L30"/>
  <c r="L28"/>
  <c r="O28" s="1"/>
  <c r="L26"/>
  <c r="L24"/>
  <c r="L22"/>
  <c r="L16"/>
  <c r="L14"/>
  <c r="L12"/>
  <c r="L10"/>
  <c r="L41"/>
  <c r="AG14" i="7"/>
  <c r="T10" i="2"/>
  <c r="T16"/>
  <c r="T24"/>
  <c r="H10" i="9"/>
  <c r="S10" s="1"/>
  <c r="W12" i="2"/>
  <c r="AN12" s="1"/>
  <c r="O29"/>
  <c r="O35" i="3"/>
  <c r="J18" i="7"/>
  <c r="J16"/>
  <c r="J12"/>
  <c r="AH12"/>
  <c r="T14" i="2"/>
  <c r="L25" i="7"/>
  <c r="N25"/>
  <c r="L26"/>
  <c r="N26"/>
  <c r="AI30" i="2"/>
  <c r="U16" i="9"/>
  <c r="V16" s="1"/>
  <c r="W16" s="1"/>
  <c r="L82" i="5"/>
  <c r="L56"/>
  <c r="L70"/>
  <c r="AH31" i="6"/>
  <c r="N31"/>
  <c r="N27"/>
  <c r="AH27"/>
  <c r="AH22"/>
  <c r="N22"/>
  <c r="AH16"/>
  <c r="N16"/>
  <c r="AH22" i="7"/>
  <c r="N22"/>
  <c r="L88" i="5"/>
  <c r="L19"/>
  <c r="L61"/>
  <c r="L84"/>
  <c r="T12" i="2"/>
  <c r="X12" s="1"/>
  <c r="AO12" s="1"/>
  <c r="T31"/>
  <c r="T25"/>
  <c r="H11" i="9"/>
  <c r="S11" s="1"/>
  <c r="T13" i="2"/>
  <c r="L13"/>
  <c r="O13" s="1"/>
  <c r="J15" i="7"/>
  <c r="J16" i="9"/>
  <c r="K16" s="1"/>
  <c r="N11" i="8"/>
  <c r="L12"/>
  <c r="N12"/>
  <c r="N13"/>
  <c r="AG29" i="6"/>
  <c r="AH29"/>
  <c r="AH28"/>
  <c r="AG12" i="7"/>
  <c r="I29" i="2"/>
  <c r="W29" s="1"/>
  <c r="I14"/>
  <c r="W14" s="1"/>
  <c r="AN14" s="1"/>
  <c r="AI12"/>
  <c r="S35" i="5"/>
  <c r="W35" s="1"/>
  <c r="L23" i="6"/>
  <c r="J17" i="9"/>
  <c r="K17" s="1"/>
  <c r="AB22" i="5"/>
  <c r="S22" s="1"/>
  <c r="W22" s="1"/>
  <c r="AE22" s="1"/>
  <c r="AG19" i="6"/>
  <c r="I53" i="3"/>
  <c r="T29" i="2"/>
  <c r="J25" i="7"/>
  <c r="U17" i="9"/>
  <c r="V17" s="1"/>
  <c r="W17" s="1"/>
  <c r="AB26" i="5"/>
  <c r="L13" i="7"/>
  <c r="AG32" i="6"/>
  <c r="I17" i="2"/>
  <c r="W17" s="1"/>
  <c r="AN17" s="1"/>
  <c r="I20" i="3"/>
  <c r="I37"/>
  <c r="I31" i="2"/>
  <c r="W31" s="1"/>
  <c r="J17" i="7"/>
  <c r="J13"/>
  <c r="L29" i="6"/>
  <c r="T15" i="2"/>
  <c r="F17" i="9"/>
  <c r="AG26" i="7"/>
  <c r="T24"/>
  <c r="V24" s="1"/>
  <c r="T25"/>
  <c r="L19"/>
  <c r="AG19"/>
  <c r="AG18"/>
  <c r="T22"/>
  <c r="V22" s="1"/>
  <c r="AG10"/>
  <c r="AG16"/>
  <c r="AG23" i="6"/>
  <c r="AG17"/>
  <c r="AG25"/>
  <c r="AG22"/>
  <c r="AG14"/>
  <c r="AG10"/>
  <c r="T32"/>
  <c r="AG30"/>
  <c r="AG26"/>
  <c r="L31"/>
  <c r="AG27"/>
  <c r="T16"/>
  <c r="AB40" i="5"/>
  <c r="S40" s="1"/>
  <c r="W40" s="1"/>
  <c r="AA27"/>
  <c r="AB27" s="1"/>
  <c r="S27" s="1"/>
  <c r="I23"/>
  <c r="I37"/>
  <c r="I33"/>
  <c r="I10"/>
  <c r="AB85"/>
  <c r="I42"/>
  <c r="W42" s="1"/>
  <c r="Y81"/>
  <c r="Z81" s="1"/>
  <c r="J81"/>
  <c r="K81" s="1"/>
  <c r="AB39"/>
  <c r="I46"/>
  <c r="J77"/>
  <c r="K77" s="1"/>
  <c r="I38"/>
  <c r="I34"/>
  <c r="I41"/>
  <c r="T24"/>
  <c r="S24"/>
  <c r="I19"/>
  <c r="I17"/>
  <c r="Y71"/>
  <c r="Z71" s="1"/>
  <c r="AA71" s="1"/>
  <c r="AB71" s="1"/>
  <c r="T71" s="1"/>
  <c r="AB14"/>
  <c r="AB25"/>
  <c r="T25" s="1"/>
  <c r="AB18"/>
  <c r="AA15" i="4"/>
  <c r="T15" s="1"/>
  <c r="J22"/>
  <c r="J17"/>
  <c r="AA21"/>
  <c r="T21" s="1"/>
  <c r="AD21" s="1"/>
  <c r="J15"/>
  <c r="J10"/>
  <c r="I61" i="3"/>
  <c r="I54"/>
  <c r="I38"/>
  <c r="I22"/>
  <c r="I12"/>
  <c r="AB65"/>
  <c r="T65" s="1"/>
  <c r="I72"/>
  <c r="I65"/>
  <c r="J50"/>
  <c r="K50" s="1"/>
  <c r="Y50"/>
  <c r="Z50" s="1"/>
  <c r="AA50" s="1"/>
  <c r="I25" i="2"/>
  <c r="W25" s="1"/>
  <c r="AI13"/>
  <c r="I13"/>
  <c r="W13" s="1"/>
  <c r="AN13" s="1"/>
  <c r="I11"/>
  <c r="W11" s="1"/>
  <c r="AN11" s="1"/>
  <c r="I26"/>
  <c r="W26" s="1"/>
  <c r="AA18"/>
  <c r="AB18" s="1"/>
  <c r="I16"/>
  <c r="W16" s="1"/>
  <c r="AN16" s="1"/>
  <c r="AH12"/>
  <c r="AH33"/>
  <c r="AB31"/>
  <c r="I30"/>
  <c r="W30" s="1"/>
  <c r="I24"/>
  <c r="W24" s="1"/>
  <c r="AH19"/>
  <c r="AH18"/>
  <c r="AH17"/>
  <c r="AH11"/>
  <c r="I10"/>
  <c r="W10" s="1"/>
  <c r="AN10" s="1"/>
  <c r="T18" i="4"/>
  <c r="AD18" s="1"/>
  <c r="T25" i="6"/>
  <c r="T12" i="5"/>
  <c r="S12"/>
  <c r="W12" s="1"/>
  <c r="AE12" s="1"/>
  <c r="T10"/>
  <c r="S10"/>
  <c r="AA72"/>
  <c r="AB72" s="1"/>
  <c r="S72" s="1"/>
  <c r="T29"/>
  <c r="S29"/>
  <c r="Y48" i="3"/>
  <c r="Z48" s="1"/>
  <c r="AA48" s="1"/>
  <c r="AB48" s="1"/>
  <c r="T48" s="1"/>
  <c r="Y46"/>
  <c r="Z46" s="1"/>
  <c r="AA46" s="1"/>
  <c r="AH32" i="6"/>
  <c r="L30"/>
  <c r="L24" i="7"/>
  <c r="AH23"/>
  <c r="L23"/>
  <c r="L22"/>
  <c r="L21"/>
  <c r="L17"/>
  <c r="L15"/>
  <c r="J79" i="5"/>
  <c r="K79" s="1"/>
  <c r="Y79"/>
  <c r="Z79" s="1"/>
  <c r="AA79" s="1"/>
  <c r="AB79" s="1"/>
  <c r="T79" s="1"/>
  <c r="Y60"/>
  <c r="Z60" s="1"/>
  <c r="AA60" s="1"/>
  <c r="AB60" s="1"/>
  <c r="S60" s="1"/>
  <c r="J60"/>
  <c r="K60" s="1"/>
  <c r="AA47"/>
  <c r="AB47" s="1"/>
  <c r="S47" s="1"/>
  <c r="W47" s="1"/>
  <c r="O33"/>
  <c r="O24"/>
  <c r="L11" i="9"/>
  <c r="F16"/>
  <c r="J59" i="3"/>
  <c r="K59" s="1"/>
  <c r="I27" i="2"/>
  <c r="W27" s="1"/>
  <c r="AH27"/>
  <c r="T27" i="6"/>
  <c r="T14"/>
  <c r="S16" i="5"/>
  <c r="W16" s="1"/>
  <c r="AE16" s="1"/>
  <c r="T16"/>
  <c r="Z11" i="4"/>
  <c r="AA11" s="1"/>
  <c r="Y74" i="3"/>
  <c r="Z74" s="1"/>
  <c r="J74"/>
  <c r="K74" s="1"/>
  <c r="J70"/>
  <c r="K70" s="1"/>
  <c r="Y68"/>
  <c r="Z68" s="1"/>
  <c r="AA68" s="1"/>
  <c r="Y66"/>
  <c r="Z66" s="1"/>
  <c r="AA66" s="1"/>
  <c r="AB66" s="1"/>
  <c r="J66"/>
  <c r="K66" s="1"/>
  <c r="Y57"/>
  <c r="Z57" s="1"/>
  <c r="AA57" s="1"/>
  <c r="AB57" s="1"/>
  <c r="J57"/>
  <c r="K57" s="1"/>
  <c r="L13" i="8"/>
  <c r="L27" i="6"/>
  <c r="L14"/>
  <c r="Z10"/>
  <c r="AA10" s="1"/>
  <c r="Y90" i="5"/>
  <c r="Z90" s="1"/>
  <c r="J90"/>
  <c r="K90" s="1"/>
  <c r="Y88"/>
  <c r="Z88" s="1"/>
  <c r="AA88" s="1"/>
  <c r="AB88" s="1"/>
  <c r="Y82"/>
  <c r="Z82" s="1"/>
  <c r="AA82" s="1"/>
  <c r="AB82" s="1"/>
  <c r="S82" s="1"/>
  <c r="J80"/>
  <c r="K80" s="1"/>
  <c r="Y69"/>
  <c r="Z69" s="1"/>
  <c r="J67"/>
  <c r="K67" s="1"/>
  <c r="Y59"/>
  <c r="Z59" s="1"/>
  <c r="AA59" s="1"/>
  <c r="AB59" s="1"/>
  <c r="J59"/>
  <c r="K59" s="1"/>
  <c r="I57"/>
  <c r="Y57"/>
  <c r="Z57" s="1"/>
  <c r="J55"/>
  <c r="K55" s="1"/>
  <c r="AA37"/>
  <c r="AB37" s="1"/>
  <c r="L11" i="8"/>
  <c r="AG15" i="7"/>
  <c r="AG11"/>
  <c r="AG24"/>
  <c r="AG22"/>
  <c r="AB36" i="3"/>
  <c r="T36" s="1"/>
  <c r="AA14" i="7"/>
  <c r="AB25" i="2"/>
  <c r="O46" i="5"/>
  <c r="I72"/>
  <c r="AB62"/>
  <c r="S62" s="1"/>
  <c r="W62" s="1"/>
  <c r="AA76"/>
  <c r="AB76" s="1"/>
  <c r="T13" i="7"/>
  <c r="T15"/>
  <c r="O11" i="9"/>
  <c r="S41" i="5"/>
  <c r="Y70"/>
  <c r="Z70" s="1"/>
  <c r="AA70" s="1"/>
  <c r="AA34"/>
  <c r="AB34" s="1"/>
  <c r="AA30" i="6"/>
  <c r="AA28"/>
  <c r="AA17"/>
  <c r="AA15"/>
  <c r="AB15" i="5"/>
  <c r="Y59" i="3"/>
  <c r="Z59" s="1"/>
  <c r="AA59" s="1"/>
  <c r="AB59" s="1"/>
  <c r="T59" s="1"/>
  <c r="I15" i="5"/>
  <c r="I13"/>
  <c r="I11"/>
  <c r="I31"/>
  <c r="I29"/>
  <c r="W29" s="1"/>
  <c r="AE29" s="1"/>
  <c r="I27"/>
  <c r="I25"/>
  <c r="I48"/>
  <c r="I32" i="2"/>
  <c r="W32" s="1"/>
  <c r="O26"/>
  <c r="Y45" i="3"/>
  <c r="Z45" s="1"/>
  <c r="AA45" s="1"/>
  <c r="AB45" s="1"/>
  <c r="I78" i="5"/>
  <c r="I73"/>
  <c r="O12"/>
  <c r="L10" i="9"/>
  <c r="AB69" i="3"/>
  <c r="T69" s="1"/>
  <c r="AB78" i="5"/>
  <c r="T78" s="1"/>
  <c r="O33" i="2"/>
  <c r="I81" i="5"/>
  <c r="I58"/>
  <c r="O62"/>
  <c r="I35" i="3"/>
  <c r="I39"/>
  <c r="I24" i="5"/>
  <c r="L16" i="7"/>
  <c r="S18" i="3"/>
  <c r="W18" s="1"/>
  <c r="AR18" s="1"/>
  <c r="T18"/>
  <c r="T33"/>
  <c r="S33"/>
  <c r="W33" s="1"/>
  <c r="AR33" s="1"/>
  <c r="AA23"/>
  <c r="AB23" s="1"/>
  <c r="T17"/>
  <c r="S17"/>
  <c r="W17" s="1"/>
  <c r="AR17" s="1"/>
  <c r="S13"/>
  <c r="W13" s="1"/>
  <c r="AR13" s="1"/>
  <c r="T13"/>
  <c r="AA38"/>
  <c r="AB38" s="1"/>
  <c r="AA39"/>
  <c r="AB39" s="1"/>
  <c r="AA31"/>
  <c r="AB31" s="1"/>
  <c r="S15"/>
  <c r="W15" s="1"/>
  <c r="AR15" s="1"/>
  <c r="T15"/>
  <c r="S14"/>
  <c r="W14" s="1"/>
  <c r="AR14" s="1"/>
  <c r="T14"/>
  <c r="AA10"/>
  <c r="AB10" s="1"/>
  <c r="S24"/>
  <c r="W24" s="1"/>
  <c r="AR24" s="1"/>
  <c r="T24"/>
  <c r="Y55"/>
  <c r="Z55" s="1"/>
  <c r="AA55" s="1"/>
  <c r="Y47"/>
  <c r="Z47" s="1"/>
  <c r="AA47" s="1"/>
  <c r="J55"/>
  <c r="K55" s="1"/>
  <c r="J64"/>
  <c r="K64" s="1"/>
  <c r="J47"/>
  <c r="K47" s="1"/>
  <c r="Y64"/>
  <c r="Z64" s="1"/>
  <c r="AA64" s="1"/>
  <c r="AB60"/>
  <c r="S60" s="1"/>
  <c r="S51"/>
  <c r="T51"/>
  <c r="T54"/>
  <c r="S54"/>
  <c r="S61" i="5"/>
  <c r="W61" s="1"/>
  <c r="T61"/>
  <c r="S72" i="3"/>
  <c r="T72"/>
  <c r="S79" i="5"/>
  <c r="S26" i="3"/>
  <c r="W26" s="1"/>
  <c r="AR26" s="1"/>
  <c r="T26"/>
  <c r="S17" i="5"/>
  <c r="T17"/>
  <c r="S53" i="3"/>
  <c r="T53"/>
  <c r="T84" i="5"/>
  <c r="S84"/>
  <c r="W84" s="1"/>
  <c r="T55"/>
  <c r="S55"/>
  <c r="S62" i="3"/>
  <c r="W62" s="1"/>
  <c r="T62"/>
  <c r="S21"/>
  <c r="W21" s="1"/>
  <c r="AR21" s="1"/>
  <c r="T21"/>
  <c r="S25"/>
  <c r="W25" s="1"/>
  <c r="AR25" s="1"/>
  <c r="T25"/>
  <c r="T10" i="4"/>
  <c r="S48" i="5"/>
  <c r="T48"/>
  <c r="S46"/>
  <c r="T46"/>
  <c r="I75" i="3"/>
  <c r="J75"/>
  <c r="K75" s="1"/>
  <c r="I67"/>
  <c r="J67"/>
  <c r="K67" s="1"/>
  <c r="I49"/>
  <c r="Y49"/>
  <c r="Z49" s="1"/>
  <c r="J49"/>
  <c r="K49" s="1"/>
  <c r="J46"/>
  <c r="K46" s="1"/>
  <c r="O31"/>
  <c r="AA20"/>
  <c r="AB20" s="1"/>
  <c r="AA16"/>
  <c r="AB16" s="1"/>
  <c r="T11" i="7"/>
  <c r="T18" i="6"/>
  <c r="T12" i="3"/>
  <c r="S12"/>
  <c r="S22"/>
  <c r="T22"/>
  <c r="AA68" i="5"/>
  <c r="AB68" s="1"/>
  <c r="S23"/>
  <c r="T23"/>
  <c r="T28"/>
  <c r="S28"/>
  <c r="W28" s="1"/>
  <c r="AE28" s="1"/>
  <c r="T33"/>
  <c r="S33"/>
  <c r="Z17" i="4"/>
  <c r="AA17" s="1"/>
  <c r="I69" i="3"/>
  <c r="J69"/>
  <c r="K69" s="1"/>
  <c r="I58"/>
  <c r="J58"/>
  <c r="K58" s="1"/>
  <c r="Y58"/>
  <c r="Z58" s="1"/>
  <c r="I56"/>
  <c r="J56"/>
  <c r="K56" s="1"/>
  <c r="Y56"/>
  <c r="Z56" s="1"/>
  <c r="AB83" i="5"/>
  <c r="AB52" i="3"/>
  <c r="AB40"/>
  <c r="AB30"/>
  <c r="AA10" i="7"/>
  <c r="AB45" i="5"/>
  <c r="S61" i="3"/>
  <c r="S73"/>
  <c r="W73" s="1"/>
  <c r="AB77" i="5"/>
  <c r="T32" i="3"/>
  <c r="AA70"/>
  <c r="AB70" s="1"/>
  <c r="T12" i="7"/>
  <c r="AA19" i="6"/>
  <c r="AA65" i="5"/>
  <c r="AB65" s="1"/>
  <c r="T22"/>
  <c r="S37" i="3"/>
  <c r="AB19"/>
  <c r="AA27"/>
  <c r="AB27" s="1"/>
  <c r="AB11"/>
  <c r="T30" i="5"/>
  <c r="S36"/>
  <c r="W36" s="1"/>
  <c r="X17" i="9"/>
  <c r="AA22" i="6"/>
  <c r="Z29"/>
  <c r="AA29" s="1"/>
  <c r="AB31" i="5"/>
  <c r="AA91"/>
  <c r="AB91" s="1"/>
  <c r="AA34" i="3"/>
  <c r="AB34" s="1"/>
  <c r="AA73" i="5"/>
  <c r="AB73" s="1"/>
  <c r="AA35" i="3"/>
  <c r="AB35" s="1"/>
  <c r="AB56" i="5"/>
  <c r="AA80"/>
  <c r="AB80" s="1"/>
  <c r="AA38"/>
  <c r="AB38" s="1"/>
  <c r="AB26" i="2"/>
  <c r="AA54" i="5"/>
  <c r="AB54" s="1"/>
  <c r="AA66"/>
  <c r="AB66" s="1"/>
  <c r="AB11"/>
  <c r="AA22" i="4"/>
  <c r="Y75" i="3"/>
  <c r="Z75" s="1"/>
  <c r="Y67"/>
  <c r="Z67" s="1"/>
  <c r="O66" i="5"/>
  <c r="I71" i="3"/>
  <c r="Y71"/>
  <c r="Z71" s="1"/>
  <c r="J68"/>
  <c r="K68" s="1"/>
  <c r="I57"/>
  <c r="I51"/>
  <c r="J45"/>
  <c r="K45" s="1"/>
  <c r="Z31" i="6"/>
  <c r="AA31" s="1"/>
  <c r="Z11"/>
  <c r="AA11" s="1"/>
  <c r="I91" i="5"/>
  <c r="I89"/>
  <c r="I77"/>
  <c r="I70"/>
  <c r="I60" i="3"/>
  <c r="Z12" i="8"/>
  <c r="AA12" s="1"/>
  <c r="Z10"/>
  <c r="AA10" s="1"/>
  <c r="I50" i="3"/>
  <c r="I83" i="5"/>
  <c r="I66"/>
  <c r="I56"/>
  <c r="I54"/>
  <c r="Z13" i="8"/>
  <c r="AA13" s="1"/>
  <c r="Z11"/>
  <c r="AA11" s="1"/>
  <c r="L32" i="6"/>
  <c r="L22"/>
  <c r="L18"/>
  <c r="L16"/>
  <c r="Y89" i="5"/>
  <c r="Z89" s="1"/>
  <c r="J78"/>
  <c r="K78" s="1"/>
  <c r="Y74"/>
  <c r="Z74" s="1"/>
  <c r="Y67"/>
  <c r="Z67" s="1"/>
  <c r="J65"/>
  <c r="K65" s="1"/>
  <c r="Y58"/>
  <c r="Z58" s="1"/>
  <c r="Y53"/>
  <c r="Z53" s="1"/>
  <c r="J53"/>
  <c r="K53" s="1"/>
  <c r="AA19"/>
  <c r="AB19" s="1"/>
  <c r="O10" i="9"/>
  <c r="I16"/>
  <c r="I17"/>
  <c r="L10" i="8"/>
  <c r="Q21" i="4" l="1"/>
  <c r="Q22"/>
  <c r="Q18"/>
  <c r="Q11"/>
  <c r="Q10"/>
  <c r="AE10" s="1"/>
  <c r="Q14"/>
  <c r="Q17"/>
  <c r="Q15"/>
  <c r="AK22" i="7"/>
  <c r="AK24"/>
  <c r="V25"/>
  <c r="AK25" s="1"/>
  <c r="V13"/>
  <c r="V12"/>
  <c r="AK12" s="1"/>
  <c r="V11"/>
  <c r="AK11" s="1"/>
  <c r="V16"/>
  <c r="AK16" s="1"/>
  <c r="V15"/>
  <c r="Q14"/>
  <c r="AM32" i="6"/>
  <c r="AM18"/>
  <c r="AM14"/>
  <c r="AM27"/>
  <c r="O19" i="2"/>
  <c r="X19" s="1"/>
  <c r="AO19" s="1"/>
  <c r="O62" i="3"/>
  <c r="X62" s="1"/>
  <c r="O73"/>
  <c r="X73" s="1"/>
  <c r="S48"/>
  <c r="X33" i="2"/>
  <c r="AB50" i="3"/>
  <c r="S50" s="1"/>
  <c r="W50" s="1"/>
  <c r="X11" i="2"/>
  <c r="AO11" s="1"/>
  <c r="W60" i="3"/>
  <c r="T23" i="6"/>
  <c r="T42" i="5"/>
  <c r="O27" i="2"/>
  <c r="X27" s="1"/>
  <c r="X26"/>
  <c r="AI27"/>
  <c r="X16" i="9"/>
  <c r="T40" i="5"/>
  <c r="W13"/>
  <c r="AE13" s="1"/>
  <c r="O10" i="2"/>
  <c r="X10" s="1"/>
  <c r="AO10" s="1"/>
  <c r="O19" i="5"/>
  <c r="O72"/>
  <c r="O57"/>
  <c r="X14" i="2"/>
  <c r="AO14" s="1"/>
  <c r="O18"/>
  <c r="X18" s="1"/>
  <c r="AO18" s="1"/>
  <c r="O85" i="5"/>
  <c r="O83"/>
  <c r="AB47" i="3"/>
  <c r="T60" i="5"/>
  <c r="S71"/>
  <c r="O56"/>
  <c r="H17" i="9"/>
  <c r="S17" s="1"/>
  <c r="O27" i="5"/>
  <c r="X27" s="1"/>
  <c r="AF27" s="1"/>
  <c r="O36"/>
  <c r="X36" s="1"/>
  <c r="O40"/>
  <c r="X40" s="1"/>
  <c r="T27"/>
  <c r="O17"/>
  <c r="X17" s="1"/>
  <c r="AF17" s="1"/>
  <c r="O25"/>
  <c r="Q26" i="7"/>
  <c r="S69" i="3"/>
  <c r="W69" s="1"/>
  <c r="O24" i="2"/>
  <c r="X24" s="1"/>
  <c r="W10" i="5"/>
  <c r="AE10" s="1"/>
  <c r="N11" i="9"/>
  <c r="W24" i="5"/>
  <c r="AE24" s="1"/>
  <c r="X36" i="3"/>
  <c r="AS36" s="1"/>
  <c r="W72" i="5"/>
  <c r="Q25" i="7"/>
  <c r="W25" s="1"/>
  <c r="O41" i="5"/>
  <c r="X41" s="1"/>
  <c r="O68"/>
  <c r="AB68" i="3"/>
  <c r="S68" s="1"/>
  <c r="X42" i="5"/>
  <c r="O70"/>
  <c r="X12"/>
  <c r="AF12" s="1"/>
  <c r="X24"/>
  <c r="AF24" s="1"/>
  <c r="AD10" i="4"/>
  <c r="X15" i="2"/>
  <c r="AO15" s="1"/>
  <c r="W53" i="3"/>
  <c r="X25"/>
  <c r="AS25" s="1"/>
  <c r="O30" i="2"/>
  <c r="X30" s="1"/>
  <c r="N10" i="9"/>
  <c r="T10" s="1"/>
  <c r="O11" i="5"/>
  <c r="O23"/>
  <c r="X23" s="1"/>
  <c r="AF23" s="1"/>
  <c r="O48"/>
  <c r="X48" s="1"/>
  <c r="X28"/>
  <c r="AF28" s="1"/>
  <c r="W12" i="3"/>
  <c r="AR12" s="1"/>
  <c r="W61"/>
  <c r="W37"/>
  <c r="AR37" s="1"/>
  <c r="AE18" i="4"/>
  <c r="X65" i="3"/>
  <c r="L53" i="5"/>
  <c r="L69" i="3"/>
  <c r="L64"/>
  <c r="O64" s="1"/>
  <c r="X15"/>
  <c r="AS15" s="1"/>
  <c r="X13"/>
  <c r="AS13" s="1"/>
  <c r="L81" i="5"/>
  <c r="O81" s="1"/>
  <c r="AM16" i="6"/>
  <c r="H16" i="9"/>
  <c r="S16" s="1"/>
  <c r="L45" i="3"/>
  <c r="L67" i="5"/>
  <c r="S88"/>
  <c r="T88"/>
  <c r="L70" i="3"/>
  <c r="O70" s="1"/>
  <c r="L50"/>
  <c r="X21"/>
  <c r="AS21" s="1"/>
  <c r="X25" i="5"/>
  <c r="AF25" s="1"/>
  <c r="L46" i="3"/>
  <c r="O46" s="1"/>
  <c r="L67"/>
  <c r="L47"/>
  <c r="W48" i="5"/>
  <c r="L66" i="3"/>
  <c r="L74"/>
  <c r="X33" i="5"/>
  <c r="W22" i="3"/>
  <c r="AR22" s="1"/>
  <c r="S39" i="5"/>
  <c r="W39" s="1"/>
  <c r="T39"/>
  <c r="W23"/>
  <c r="AE23" s="1"/>
  <c r="L78"/>
  <c r="L49" i="3"/>
  <c r="L65" i="5"/>
  <c r="L68" i="3"/>
  <c r="L58"/>
  <c r="S25" i="5"/>
  <c r="W25" s="1"/>
  <c r="AE25" s="1"/>
  <c r="L55"/>
  <c r="T11" i="9"/>
  <c r="S18" i="5"/>
  <c r="W18" s="1"/>
  <c r="AE18" s="1"/>
  <c r="T18"/>
  <c r="W17"/>
  <c r="AE17" s="1"/>
  <c r="L77"/>
  <c r="AM25" i="6"/>
  <c r="Q11" i="8"/>
  <c r="W11" s="1"/>
  <c r="X31" i="2"/>
  <c r="X29"/>
  <c r="T29" i="3"/>
  <c r="S29"/>
  <c r="W29" s="1"/>
  <c r="AR29" s="1"/>
  <c r="AI16" i="2"/>
  <c r="O16"/>
  <c r="X16" s="1"/>
  <c r="AO16" s="1"/>
  <c r="X13"/>
  <c r="AO13" s="1"/>
  <c r="X17" i="3"/>
  <c r="AS17" s="1"/>
  <c r="X26"/>
  <c r="AS26" s="1"/>
  <c r="X54"/>
  <c r="X46" i="5"/>
  <c r="X29"/>
  <c r="AF29" s="1"/>
  <c r="L90"/>
  <c r="L79"/>
  <c r="W72" i="3"/>
  <c r="AD15" i="4"/>
  <c r="W41" i="5"/>
  <c r="W33"/>
  <c r="X28" i="2"/>
  <c r="Q10" i="8"/>
  <c r="W10" s="1"/>
  <c r="W51" i="3"/>
  <c r="L56"/>
  <c r="L75"/>
  <c r="L55"/>
  <c r="W27" i="5"/>
  <c r="AE27" s="1"/>
  <c r="L59"/>
  <c r="L80"/>
  <c r="L57" i="3"/>
  <c r="L59"/>
  <c r="L60" i="5"/>
  <c r="AI11" i="2"/>
  <c r="W54" i="3"/>
  <c r="W46" i="5"/>
  <c r="AK13" i="7"/>
  <c r="O25" i="2"/>
  <c r="X25" s="1"/>
  <c r="Q13" i="8"/>
  <c r="W13" s="1"/>
  <c r="Q12"/>
  <c r="W12" s="1"/>
  <c r="AK15" i="7"/>
  <c r="L16" i="9"/>
  <c r="O16"/>
  <c r="O17"/>
  <c r="L17"/>
  <c r="O34" i="5"/>
  <c r="S26"/>
  <c r="W26" s="1"/>
  <c r="AE26" s="1"/>
  <c r="T26"/>
  <c r="Q22" i="7"/>
  <c r="Q15"/>
  <c r="O47" i="5"/>
  <c r="O14"/>
  <c r="I88"/>
  <c r="W88" s="1"/>
  <c r="T26" i="7"/>
  <c r="Q10"/>
  <c r="Q23"/>
  <c r="Q19"/>
  <c r="Q24"/>
  <c r="Q13"/>
  <c r="Q16"/>
  <c r="S36" i="3"/>
  <c r="W36" s="1"/>
  <c r="AR36" s="1"/>
  <c r="Q12" i="7"/>
  <c r="Q17"/>
  <c r="Q21"/>
  <c r="Q18"/>
  <c r="Q11"/>
  <c r="AH25"/>
  <c r="AH26"/>
  <c r="T18"/>
  <c r="V18" s="1"/>
  <c r="T19"/>
  <c r="V19" s="1"/>
  <c r="T14"/>
  <c r="V14" s="1"/>
  <c r="T17" i="6"/>
  <c r="O84" i="5"/>
  <c r="X84" s="1"/>
  <c r="O54"/>
  <c r="I71"/>
  <c r="W71" s="1"/>
  <c r="T62"/>
  <c r="X62" s="1"/>
  <c r="I53"/>
  <c r="I65"/>
  <c r="O13"/>
  <c r="X13" s="1"/>
  <c r="AF13" s="1"/>
  <c r="O45"/>
  <c r="O22"/>
  <c r="X22" s="1"/>
  <c r="AF22" s="1"/>
  <c r="T85"/>
  <c r="S85"/>
  <c r="W85" s="1"/>
  <c r="O82"/>
  <c r="S78"/>
  <c r="W78" s="1"/>
  <c r="O88"/>
  <c r="I76"/>
  <c r="I82"/>
  <c r="W82" s="1"/>
  <c r="O74"/>
  <c r="I60"/>
  <c r="W60" s="1"/>
  <c r="I59"/>
  <c r="I74"/>
  <c r="S37"/>
  <c r="W37" s="1"/>
  <c r="T37"/>
  <c r="T82"/>
  <c r="O39"/>
  <c r="I90"/>
  <c r="AA81"/>
  <c r="AB81" s="1"/>
  <c r="S81" s="1"/>
  <c r="W81" s="1"/>
  <c r="T47"/>
  <c r="O91"/>
  <c r="O37"/>
  <c r="O89"/>
  <c r="I68"/>
  <c r="O71"/>
  <c r="X71" s="1"/>
  <c r="O16"/>
  <c r="X16" s="1"/>
  <c r="AF16" s="1"/>
  <c r="I67"/>
  <c r="O10"/>
  <c r="X10" s="1"/>
  <c r="AF10" s="1"/>
  <c r="S14"/>
  <c r="W14" s="1"/>
  <c r="AE14" s="1"/>
  <c r="T14"/>
  <c r="O31"/>
  <c r="O58"/>
  <c r="I69"/>
  <c r="AE21" i="4"/>
  <c r="I66" i="3"/>
  <c r="I68"/>
  <c r="I52"/>
  <c r="O61"/>
  <c r="X61" s="1"/>
  <c r="AB46"/>
  <c r="S46" s="1"/>
  <c r="O18"/>
  <c r="X18" s="1"/>
  <c r="AS18" s="1"/>
  <c r="I64"/>
  <c r="I74"/>
  <c r="O72"/>
  <c r="X72" s="1"/>
  <c r="S65"/>
  <c r="W65" s="1"/>
  <c r="S59"/>
  <c r="O53"/>
  <c r="X53" s="1"/>
  <c r="O51"/>
  <c r="X51" s="1"/>
  <c r="O32"/>
  <c r="X32" s="1"/>
  <c r="AS32" s="1"/>
  <c r="O30"/>
  <c r="I70"/>
  <c r="O37"/>
  <c r="X37" s="1"/>
  <c r="AS37" s="1"/>
  <c r="I55"/>
  <c r="O24"/>
  <c r="X24" s="1"/>
  <c r="AS24" s="1"/>
  <c r="O10"/>
  <c r="O22"/>
  <c r="X22" s="1"/>
  <c r="AS22" s="1"/>
  <c r="O48"/>
  <c r="X48" s="1"/>
  <c r="AI17" i="2"/>
  <c r="S10" i="3"/>
  <c r="W10" s="1"/>
  <c r="AR10" s="1"/>
  <c r="T10"/>
  <c r="T38"/>
  <c r="X38" s="1"/>
  <c r="AS38" s="1"/>
  <c r="S38"/>
  <c r="W38" s="1"/>
  <c r="AR38" s="1"/>
  <c r="T45"/>
  <c r="S45"/>
  <c r="S76" i="5"/>
  <c r="T76"/>
  <c r="T66" i="3"/>
  <c r="S66"/>
  <c r="T11" i="4"/>
  <c r="AD11" s="1"/>
  <c r="AE11"/>
  <c r="AN10" i="6"/>
  <c r="T10"/>
  <c r="AH14" i="7"/>
  <c r="S15" i="5"/>
  <c r="W15" s="1"/>
  <c r="AE15" s="1"/>
  <c r="T15"/>
  <c r="X15" s="1"/>
  <c r="AF15" s="1"/>
  <c r="T30" i="6"/>
  <c r="S34" i="5"/>
  <c r="W34" s="1"/>
  <c r="T34"/>
  <c r="T23" i="7"/>
  <c r="AA57" i="5"/>
  <c r="AB57" s="1"/>
  <c r="AA69"/>
  <c r="AB69" s="1"/>
  <c r="AA90"/>
  <c r="AB90" s="1"/>
  <c r="AH14" i="6"/>
  <c r="I45" i="3"/>
  <c r="W45" s="1"/>
  <c r="O76" i="5"/>
  <c r="T15" i="6"/>
  <c r="T28"/>
  <c r="AA74" i="3"/>
  <c r="AB74" s="1"/>
  <c r="I79" i="5"/>
  <c r="W79" s="1"/>
  <c r="AB64" i="3"/>
  <c r="S64" s="1"/>
  <c r="AB70" i="5"/>
  <c r="T70" s="1"/>
  <c r="X70" s="1"/>
  <c r="AB55" i="3"/>
  <c r="S55" s="1"/>
  <c r="T72" i="5"/>
  <c r="T60" i="3"/>
  <c r="X60" s="1"/>
  <c r="O61" i="5"/>
  <c r="X61" s="1"/>
  <c r="O18"/>
  <c r="X18" s="1"/>
  <c r="AF18" s="1"/>
  <c r="O30"/>
  <c r="X30" s="1"/>
  <c r="AF30" s="1"/>
  <c r="O35"/>
  <c r="X35" s="1"/>
  <c r="O12" i="3"/>
  <c r="X12" s="1"/>
  <c r="AS12" s="1"/>
  <c r="O14"/>
  <c r="X14" s="1"/>
  <c r="AS14" s="1"/>
  <c r="O16"/>
  <c r="O20"/>
  <c r="O29"/>
  <c r="O33"/>
  <c r="X33" s="1"/>
  <c r="AS33" s="1"/>
  <c r="I47"/>
  <c r="O73" i="5"/>
  <c r="O26"/>
  <c r="I55"/>
  <c r="W55" s="1"/>
  <c r="I80"/>
  <c r="I59" i="3"/>
  <c r="I46"/>
  <c r="W46" s="1"/>
  <c r="I48"/>
  <c r="T17" i="7"/>
  <c r="V17" s="1"/>
  <c r="S39" i="3"/>
  <c r="W39" s="1"/>
  <c r="AR39" s="1"/>
  <c r="T39"/>
  <c r="X39" s="1"/>
  <c r="AS39" s="1"/>
  <c r="T23"/>
  <c r="X23" s="1"/>
  <c r="AS23" s="1"/>
  <c r="S23"/>
  <c r="W23" s="1"/>
  <c r="AR23" s="1"/>
  <c r="S31"/>
  <c r="W31" s="1"/>
  <c r="AR31" s="1"/>
  <c r="T31"/>
  <c r="X31" s="1"/>
  <c r="AS31" s="1"/>
  <c r="S57"/>
  <c r="W57" s="1"/>
  <c r="T57"/>
  <c r="T19" i="5"/>
  <c r="X19" s="1"/>
  <c r="AF19" s="1"/>
  <c r="S19"/>
  <c r="W19" s="1"/>
  <c r="AE19" s="1"/>
  <c r="S13" i="8"/>
  <c r="V13" s="1"/>
  <c r="AH13" s="1"/>
  <c r="S54" i="5"/>
  <c r="W54" s="1"/>
  <c r="T54"/>
  <c r="T38"/>
  <c r="X38" s="1"/>
  <c r="S38"/>
  <c r="W38" s="1"/>
  <c r="S35" i="3"/>
  <c r="W35" s="1"/>
  <c r="AR35" s="1"/>
  <c r="T35"/>
  <c r="X35" s="1"/>
  <c r="AS35" s="1"/>
  <c r="S91" i="5"/>
  <c r="W91" s="1"/>
  <c r="T91"/>
  <c r="T29" i="6"/>
  <c r="T65" i="5"/>
  <c r="S65"/>
  <c r="S70" i="3"/>
  <c r="T70"/>
  <c r="S59" i="5"/>
  <c r="T59"/>
  <c r="S68"/>
  <c r="T68"/>
  <c r="X68" s="1"/>
  <c r="T16" i="3"/>
  <c r="S16"/>
  <c r="W16" s="1"/>
  <c r="AR16" s="1"/>
  <c r="S11" i="8"/>
  <c r="V11" s="1"/>
  <c r="AH11" s="1"/>
  <c r="T11" i="6"/>
  <c r="S73" i="5"/>
  <c r="W73" s="1"/>
  <c r="T73"/>
  <c r="S20" i="3"/>
  <c r="W20" s="1"/>
  <c r="AR20" s="1"/>
  <c r="T20"/>
  <c r="AA89" i="5"/>
  <c r="AB89" s="1"/>
  <c r="S10" i="8"/>
  <c r="V10" s="1"/>
  <c r="AH10" s="1"/>
  <c r="S12"/>
  <c r="V12" s="1"/>
  <c r="AH12" s="1"/>
  <c r="O53" i="5"/>
  <c r="AA58"/>
  <c r="AB58" s="1"/>
  <c r="AA67"/>
  <c r="AB67" s="1"/>
  <c r="AA74"/>
  <c r="AB74" s="1"/>
  <c r="AA71" i="3"/>
  <c r="AB71" s="1"/>
  <c r="AA67"/>
  <c r="AB67" s="1"/>
  <c r="T22" i="4"/>
  <c r="AD22" s="1"/>
  <c r="AE22"/>
  <c r="S56" i="5"/>
  <c r="W56" s="1"/>
  <c r="T56"/>
  <c r="T50" i="3"/>
  <c r="T22" i="6"/>
  <c r="S19" i="3"/>
  <c r="W19" s="1"/>
  <c r="AR19" s="1"/>
  <c r="T19"/>
  <c r="X19" s="1"/>
  <c r="AS19" s="1"/>
  <c r="T26" i="6"/>
  <c r="T47" i="3"/>
  <c r="S47"/>
  <c r="T77" i="5"/>
  <c r="S77"/>
  <c r="W77" s="1"/>
  <c r="T45"/>
  <c r="S45"/>
  <c r="W45" s="1"/>
  <c r="T10" i="7"/>
  <c r="S30" i="3"/>
  <c r="W30" s="1"/>
  <c r="AR30" s="1"/>
  <c r="T30"/>
  <c r="S52"/>
  <c r="T52"/>
  <c r="X52" s="1"/>
  <c r="S83" i="5"/>
  <c r="W83" s="1"/>
  <c r="T83"/>
  <c r="AA56" i="3"/>
  <c r="AB56" s="1"/>
  <c r="AA58"/>
  <c r="AB58" s="1"/>
  <c r="AA49"/>
  <c r="AB49" s="1"/>
  <c r="AA53" i="5"/>
  <c r="AB53" s="1"/>
  <c r="T31" i="6"/>
  <c r="AA75" i="3"/>
  <c r="AB75" s="1"/>
  <c r="S11" i="5"/>
  <c r="W11" s="1"/>
  <c r="AE11" s="1"/>
  <c r="T11"/>
  <c r="X11" s="1"/>
  <c r="AF11" s="1"/>
  <c r="T31"/>
  <c r="S31"/>
  <c r="W31" s="1"/>
  <c r="AE31" s="1"/>
  <c r="S11" i="3"/>
  <c r="W11" s="1"/>
  <c r="AR11" s="1"/>
  <c r="T11"/>
  <c r="X11" s="1"/>
  <c r="AS11" s="1"/>
  <c r="T19" i="6"/>
  <c r="T27" i="3"/>
  <c r="X27" s="1"/>
  <c r="AS27" s="1"/>
  <c r="S27"/>
  <c r="W27" s="1"/>
  <c r="AR27" s="1"/>
  <c r="T34"/>
  <c r="X34" s="1"/>
  <c r="AS34" s="1"/>
  <c r="S34"/>
  <c r="W34" s="1"/>
  <c r="AR34" s="1"/>
  <c r="T40"/>
  <c r="X40" s="1"/>
  <c r="AS40" s="1"/>
  <c r="S40"/>
  <c r="W40" s="1"/>
  <c r="AR40" s="1"/>
  <c r="S66" i="5"/>
  <c r="W66" s="1"/>
  <c r="T66"/>
  <c r="X66" s="1"/>
  <c r="T80"/>
  <c r="S80"/>
  <c r="AE17" i="4"/>
  <c r="T17"/>
  <c r="AD17" s="1"/>
  <c r="AE15" l="1"/>
  <c r="AE14"/>
  <c r="W23" i="7"/>
  <c r="AK23"/>
  <c r="V23"/>
  <c r="W21"/>
  <c r="AL21" s="1"/>
  <c r="AL24"/>
  <c r="W24"/>
  <c r="W22"/>
  <c r="AL22" s="1"/>
  <c r="W26"/>
  <c r="AL26" s="1"/>
  <c r="V26"/>
  <c r="AK26" s="1"/>
  <c r="W18"/>
  <c r="AL18" s="1"/>
  <c r="W19"/>
  <c r="AL19" s="1"/>
  <c r="W10"/>
  <c r="W11"/>
  <c r="AL11" s="1"/>
  <c r="V10"/>
  <c r="AK10" s="1"/>
  <c r="W13"/>
  <c r="AL13" s="1"/>
  <c r="AK18"/>
  <c r="W17"/>
  <c r="W16"/>
  <c r="AL16" s="1"/>
  <c r="AK17"/>
  <c r="AK19"/>
  <c r="W12"/>
  <c r="AL12" s="1"/>
  <c r="W15"/>
  <c r="AL15" s="1"/>
  <c r="AK14"/>
  <c r="W14"/>
  <c r="AL14" s="1"/>
  <c r="AM19" i="6"/>
  <c r="AN27"/>
  <c r="AM23"/>
  <c r="AM31"/>
  <c r="AM29"/>
  <c r="AN23"/>
  <c r="AN16"/>
  <c r="AN32"/>
  <c r="AN18"/>
  <c r="AN14"/>
  <c r="AN25"/>
  <c r="AM26"/>
  <c r="AM30"/>
  <c r="AM28"/>
  <c r="AM10"/>
  <c r="AN17"/>
  <c r="AM15"/>
  <c r="AM17"/>
  <c r="AM11"/>
  <c r="AM22"/>
  <c r="T68" i="3"/>
  <c r="W48"/>
  <c r="X85" i="5"/>
  <c r="X88"/>
  <c r="AN29" i="6"/>
  <c r="AL25" i="7"/>
  <c r="X83" i="5"/>
  <c r="X56"/>
  <c r="X72"/>
  <c r="T64" i="3"/>
  <c r="X26" i="5"/>
  <c r="AF26" s="1"/>
  <c r="X76"/>
  <c r="AI10" i="8"/>
  <c r="O60" i="5"/>
  <c r="X60" s="1"/>
  <c r="O57" i="3"/>
  <c r="O59" i="5"/>
  <c r="O77"/>
  <c r="AI13" i="8"/>
  <c r="O55" i="3"/>
  <c r="O66"/>
  <c r="X20"/>
  <c r="AS20" s="1"/>
  <c r="X70"/>
  <c r="W68"/>
  <c r="X14" i="5"/>
  <c r="AF14" s="1"/>
  <c r="X34"/>
  <c r="X57" i="3"/>
  <c r="X59" i="5"/>
  <c r="O49" i="3"/>
  <c r="O47"/>
  <c r="X47" s="1"/>
  <c r="W64"/>
  <c r="W52"/>
  <c r="W59" i="5"/>
  <c r="W76"/>
  <c r="X77"/>
  <c r="X45"/>
  <c r="X54"/>
  <c r="AL17" i="7"/>
  <c r="AN26" i="6"/>
  <c r="AN31"/>
  <c r="X66" i="3"/>
  <c r="N16" i="9"/>
  <c r="T16" s="1"/>
  <c r="W55" i="3"/>
  <c r="W59"/>
  <c r="X73" i="5"/>
  <c r="W65"/>
  <c r="X30" i="3"/>
  <c r="AS30" s="1"/>
  <c r="W68" i="5"/>
  <c r="AN19" i="6"/>
  <c r="X29" i="3"/>
  <c r="AS29" s="1"/>
  <c r="X31" i="5"/>
  <c r="AF31" s="1"/>
  <c r="T55" i="3"/>
  <c r="X64"/>
  <c r="W66"/>
  <c r="X37" i="5"/>
  <c r="AN11" i="6"/>
  <c r="X47" i="5"/>
  <c r="N17" i="9"/>
  <c r="T17" s="1"/>
  <c r="AI12" i="8"/>
  <c r="AI11"/>
  <c r="W80" i="5"/>
  <c r="W47" i="3"/>
  <c r="X16"/>
  <c r="AS16" s="1"/>
  <c r="X10"/>
  <c r="AS10" s="1"/>
  <c r="W70"/>
  <c r="X91" i="5"/>
  <c r="X39"/>
  <c r="X82"/>
  <c r="AN30" i="6"/>
  <c r="AN28"/>
  <c r="AN15"/>
  <c r="AL23" i="7"/>
  <c r="AL10"/>
  <c r="AN22" i="6"/>
  <c r="O79" i="5"/>
  <c r="X79" s="1"/>
  <c r="O69" i="3"/>
  <c r="X69" s="1"/>
  <c r="O90" i="5"/>
  <c r="O65"/>
  <c r="X65" s="1"/>
  <c r="O55"/>
  <c r="X55" s="1"/>
  <c r="O80"/>
  <c r="X80" s="1"/>
  <c r="T81"/>
  <c r="X81" s="1"/>
  <c r="O67"/>
  <c r="S70"/>
  <c r="W70" s="1"/>
  <c r="O75" i="3"/>
  <c r="T46"/>
  <c r="X46" s="1"/>
  <c r="O67"/>
  <c r="O68"/>
  <c r="X68" s="1"/>
  <c r="O74"/>
  <c r="O59"/>
  <c r="X59" s="1"/>
  <c r="O50"/>
  <c r="X50" s="1"/>
  <c r="O56"/>
  <c r="O58"/>
  <c r="T74"/>
  <c r="S74"/>
  <c r="W74" s="1"/>
  <c r="T90" i="5"/>
  <c r="S90"/>
  <c r="W90" s="1"/>
  <c r="S69"/>
  <c r="W69" s="1"/>
  <c r="T69"/>
  <c r="X69" s="1"/>
  <c r="S57"/>
  <c r="W57" s="1"/>
  <c r="T57"/>
  <c r="X57" s="1"/>
  <c r="O78"/>
  <c r="X78" s="1"/>
  <c r="O45" i="3"/>
  <c r="X45" s="1"/>
  <c r="S58"/>
  <c r="W58" s="1"/>
  <c r="T58"/>
  <c r="S71"/>
  <c r="W71" s="1"/>
  <c r="T71"/>
  <c r="X71" s="1"/>
  <c r="S75"/>
  <c r="W75" s="1"/>
  <c r="T75"/>
  <c r="S67"/>
  <c r="W67" s="1"/>
  <c r="T67"/>
  <c r="T58" i="5"/>
  <c r="X58" s="1"/>
  <c r="S58"/>
  <c r="W58" s="1"/>
  <c r="T53"/>
  <c r="X53" s="1"/>
  <c r="S53"/>
  <c r="W53" s="1"/>
  <c r="T49" i="3"/>
  <c r="X49" s="1"/>
  <c r="S49"/>
  <c r="W49" s="1"/>
  <c r="S56"/>
  <c r="W56" s="1"/>
  <c r="T56"/>
  <c r="T89" i="5"/>
  <c r="X89" s="1"/>
  <c r="S89"/>
  <c r="W89" s="1"/>
  <c r="S74"/>
  <c r="W74" s="1"/>
  <c r="T74"/>
  <c r="X74" s="1"/>
  <c r="S67"/>
  <c r="W67" s="1"/>
  <c r="T67"/>
  <c r="X55" i="3" l="1"/>
  <c r="X67" i="5"/>
  <c r="X90"/>
  <c r="X58" i="3"/>
  <c r="X74"/>
  <c r="X75"/>
  <c r="X67"/>
  <c r="X56"/>
</calcChain>
</file>

<file path=xl/sharedStrings.xml><?xml version="1.0" encoding="utf-8"?>
<sst xmlns="http://schemas.openxmlformats.org/spreadsheetml/2006/main" count="1086" uniqueCount="193">
  <si>
    <t>200 rs ADD IN M.TAX AS PER JAY ON DATED 21/08/2015</t>
  </si>
  <si>
    <t>CITY &amp; JAZZ MODEL</t>
  </si>
  <si>
    <t xml:space="preserve">IN CASES OF JAIKISHAN SONI RS 247 DEBIT SO DECIDED THAT 200 RS ADD IN M.TAX </t>
  </si>
  <si>
    <t>mud flap remove on jazz price list as per bhavinbhai &amp; kapil sir say on dated 08/10/2015 telephone talk</t>
  </si>
  <si>
    <t>MODEL</t>
  </si>
  <si>
    <t>Variant</t>
  </si>
  <si>
    <t>INDIVIDUAL</t>
  </si>
  <si>
    <t>CORPORATE</t>
  </si>
  <si>
    <t>OPTIONAL ADD ONS</t>
  </si>
  <si>
    <t>TOTAL ONROAD PRICE WITH OPTIONAL ADD ONS</t>
  </si>
  <si>
    <t>Ex. Showroom Price</t>
  </si>
  <si>
    <t>Honda Assure Ins. with Engine Protect &amp; Key Cover</t>
  </si>
  <si>
    <t>Reg. Charges</t>
  </si>
  <si>
    <t>Basic Accessory Kit</t>
  </si>
  <si>
    <t>On Road Price</t>
  </si>
  <si>
    <t xml:space="preserve">Honda Assure Ins. with Engine Protect &amp; Key Cover </t>
  </si>
  <si>
    <t xml:space="preserve">Ex. Warranty (3rd &amp; 4th Year / 80000 Kms) </t>
  </si>
  <si>
    <t>RSA  (4 Year)</t>
  </si>
  <si>
    <t>Honda Genuine Access.</t>
  </si>
  <si>
    <t>Nil Dep Individual</t>
  </si>
  <si>
    <t xml:space="preserve">Nil Dep Corporate </t>
  </si>
  <si>
    <t>Honda Connect</t>
  </si>
  <si>
    <t>On Road Price Individual</t>
  </si>
  <si>
    <t>On Road  Price Corporate</t>
  </si>
  <si>
    <t>BRIO</t>
  </si>
  <si>
    <t>EMT</t>
  </si>
  <si>
    <t>Base</t>
  </si>
  <si>
    <t>Pearl</t>
  </si>
  <si>
    <t>SMT</t>
  </si>
  <si>
    <t>VX-MT</t>
  </si>
  <si>
    <t>VX-AT</t>
  </si>
  <si>
    <t>E-MT</t>
  </si>
  <si>
    <t>Colours Option :</t>
  </si>
  <si>
    <t>Base Colours : Taffeta White, Rallye Red  Alabaster Silver, Urban Titanium</t>
  </si>
  <si>
    <t>Pearl Premium Colour : Orchid White Pearl</t>
  </si>
  <si>
    <t>Please Note :</t>
  </si>
  <si>
    <t>1.    The Prices are subject to change without prior notice. Price prevailing at the time of Invoicing of the vehicle will be applicable</t>
  </si>
  <si>
    <t>2.    Ex – Showroom Price &amp; Ex – Warehouse Price is inclusive of 28% GST &amp; 1% CESS</t>
  </si>
  <si>
    <t>3.    RSA and Extended warranty is optional</t>
  </si>
  <si>
    <t>6.    Tax Collected at Source (TCS) is @1% of Ex-showroom price w.e.f 1st June 2016, where Ex-Showroom price is more than Rs.10 Lacs.</t>
  </si>
  <si>
    <t>7.    No cash payment will be accepted against car invoice. Any part payment made in cash against car invoice then TCS will be charged @1% on car invoice value as per income tax section 206 C</t>
  </si>
  <si>
    <t>8.    Connected car feature is enabled on the Honda Connect application only after installation of "Connected Device".
*"CONNECTED DEVICE" IS PROVIDED BY MINDA I-CONNECT PVT &amp; MARKETED BY HONDA ACCESS INDIA PVT LTD.
&amp; IS AVAILABLE WITH AUTHORIZED DEALERS OF HONDA CARS INDIA LIMITED. PLEASE READ THE “TERMS OF USE” OF MINDA I-CONNECT PRIVATE LIMITED CAREFULLY TO UNDERSTAND, ACCEPT AND AVAIL SERVICES MENTIONED THEREIN.</t>
  </si>
  <si>
    <t xml:space="preserve">9.  Additional Rs 2,490 /- to be paid online to Minda for Honda Connect Subscription for 1 year </t>
  </si>
  <si>
    <t xml:space="preserve"> JAZZ (i-VTEC)</t>
  </si>
  <si>
    <t>E MT</t>
  </si>
  <si>
    <t>S MT</t>
  </si>
  <si>
    <t>SV MT</t>
  </si>
  <si>
    <t>V MT</t>
  </si>
  <si>
    <t>VX MT</t>
  </si>
  <si>
    <t>S CVT</t>
  </si>
  <si>
    <t>V CVT</t>
  </si>
  <si>
    <r>
      <t xml:space="preserve">JAZZ </t>
    </r>
    <r>
      <rPr>
        <b/>
        <sz val="16"/>
        <rFont val="Calibri"/>
        <family val="2"/>
        <charset val="1"/>
      </rPr>
      <t>(i-DTEC)</t>
    </r>
  </si>
  <si>
    <t>Colour Options :</t>
  </si>
  <si>
    <t xml:space="preserve">Jazz E           : </t>
  </si>
  <si>
    <r>
      <t xml:space="preserve">Base Colours : </t>
    </r>
    <r>
      <rPr>
        <sz val="10"/>
        <rFont val="Calibri"/>
        <family val="2"/>
        <charset val="1"/>
      </rPr>
      <t xml:space="preserve">Tafeta White, Alabaster Silver </t>
    </r>
    <r>
      <rPr>
        <b/>
        <sz val="10"/>
        <color indexed="8"/>
        <rFont val="Calibri"/>
        <family val="2"/>
      </rPr>
      <t>Pearl Premium Colour :</t>
    </r>
    <r>
      <rPr>
        <sz val="10"/>
        <color indexed="8"/>
        <rFont val="Calibri"/>
        <family val="2"/>
      </rPr>
      <t xml:space="preserve"> Orchid White Pearl</t>
    </r>
  </si>
  <si>
    <t xml:space="preserve">Jazz S           : </t>
  </si>
  <si>
    <r>
      <t xml:space="preserve">Base Colours : </t>
    </r>
    <r>
      <rPr>
        <sz val="10"/>
        <rFont val="Calibri"/>
        <family val="2"/>
        <charset val="1"/>
      </rPr>
      <t xml:space="preserve">Tafeta White, Alabaster Silver, Carnelian Red, Urban Titanium </t>
    </r>
    <r>
      <rPr>
        <b/>
        <sz val="10"/>
        <color indexed="8"/>
        <rFont val="Calibri"/>
        <family val="2"/>
      </rPr>
      <t>Pearl Premium Colour :</t>
    </r>
    <r>
      <rPr>
        <sz val="10"/>
        <color indexed="8"/>
        <rFont val="Calibri"/>
        <family val="2"/>
      </rPr>
      <t xml:space="preserve"> Orchid White Pearl</t>
    </r>
  </si>
  <si>
    <t xml:space="preserve">Jazz SV        : </t>
  </si>
  <si>
    <r>
      <t xml:space="preserve">Base Colours : </t>
    </r>
    <r>
      <rPr>
        <sz val="10"/>
        <rFont val="Calibri"/>
        <family val="2"/>
        <charset val="1"/>
      </rPr>
      <t xml:space="preserve">Tafeta White, Alabaster Silver, Carnelian Red, Urban Titanium, New Golden Brown </t>
    </r>
    <r>
      <rPr>
        <b/>
        <sz val="10"/>
        <rFont val="Calibri"/>
        <family val="2"/>
        <charset val="1"/>
      </rPr>
      <t>Pearl Premium Colour :</t>
    </r>
    <r>
      <rPr>
        <sz val="10"/>
        <rFont val="Calibri"/>
        <family val="2"/>
        <charset val="1"/>
      </rPr>
      <t xml:space="preserve"> </t>
    </r>
    <r>
      <rPr>
        <sz val="10"/>
        <color indexed="8"/>
        <rFont val="Calibri"/>
        <family val="2"/>
      </rPr>
      <t>Orchid White Pearl</t>
    </r>
  </si>
  <si>
    <t xml:space="preserve">Jazz V / VX  : </t>
  </si>
  <si>
    <r>
      <t xml:space="preserve">Base Colours : </t>
    </r>
    <r>
      <rPr>
        <sz val="10"/>
        <rFont val="Calibri"/>
        <family val="2"/>
        <charset val="1"/>
      </rPr>
      <t xml:space="preserve">Tafeta White, Sunset Orange, Alabaster Silver, Carnelian Red, Urban Titanium, New Golden Brown 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Pearl Premium Colour :</t>
    </r>
    <r>
      <rPr>
        <sz val="10"/>
        <color indexed="8"/>
        <rFont val="Calibri"/>
        <family val="2"/>
      </rPr>
      <t xml:space="preserve"> Orchid White Pearl</t>
    </r>
  </si>
  <si>
    <t>2.    Ex – Showroom Price &amp; Ex – Warehouse Price is inclusive of 28% GST &amp; 1% CESS (for Petrol vehicles) &amp; 28% GST &amp; 3 % CESS (for Diesel vehicles)</t>
  </si>
  <si>
    <t>Tax Collected at Source(TCS)</t>
  </si>
  <si>
    <r>
      <t>Ex. Warranty (4</t>
    </r>
    <r>
      <rPr>
        <b/>
        <vertAlign val="superscript"/>
        <sz val="10"/>
        <rFont val="Calibri"/>
        <family val="2"/>
        <charset val="1"/>
      </rPr>
      <t>th</t>
    </r>
    <r>
      <rPr>
        <b/>
        <sz val="10"/>
        <rFont val="Calibri"/>
        <family val="2"/>
        <charset val="1"/>
      </rPr>
      <t xml:space="preserve"> &amp; 5</t>
    </r>
    <r>
      <rPr>
        <b/>
        <vertAlign val="superscript"/>
        <sz val="10"/>
        <rFont val="Calibri"/>
        <family val="2"/>
        <charset val="1"/>
      </rPr>
      <t>th</t>
    </r>
    <r>
      <rPr>
        <b/>
        <sz val="10"/>
        <rFont val="Calibri"/>
        <family val="2"/>
        <charset val="1"/>
      </rPr>
      <t xml:space="preserve"> Year / Unlimited Kms) </t>
    </r>
  </si>
  <si>
    <t xml:space="preserve"> WRV (i-VTEC)</t>
  </si>
  <si>
    <r>
      <t xml:space="preserve">WRV </t>
    </r>
    <r>
      <rPr>
        <b/>
        <sz val="16"/>
        <rFont val="Calibri"/>
        <family val="2"/>
        <charset val="1"/>
      </rPr>
      <t>(i-DTEC)</t>
    </r>
  </si>
  <si>
    <r>
      <t>Base Colours :</t>
    </r>
    <r>
      <rPr>
        <sz val="10"/>
        <rFont val="Calibri"/>
        <family val="2"/>
        <charset val="1"/>
      </rPr>
      <t xml:space="preserve"> Premium Amber, Modern Steel, Alabaster Silver, Carnelian Red, Golden Brown 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Pearl Premium Colour :</t>
    </r>
    <r>
      <rPr>
        <sz val="10"/>
        <color indexed="8"/>
        <rFont val="Calibri"/>
        <family val="2"/>
      </rPr>
      <t xml:space="preserve"> Orchid White Pearl</t>
    </r>
  </si>
  <si>
    <r>
      <t xml:space="preserve"> </t>
    </r>
    <r>
      <rPr>
        <b/>
        <i/>
        <sz val="16"/>
        <rFont val="Calibri"/>
        <family val="2"/>
        <charset val="1"/>
      </rPr>
      <t>AMAZE</t>
    </r>
    <r>
      <rPr>
        <b/>
        <sz val="16"/>
        <rFont val="Calibri"/>
        <family val="2"/>
        <charset val="1"/>
      </rPr>
      <t xml:space="preserve"> (i-VTEC)</t>
    </r>
  </si>
  <si>
    <t>1.2 E-MT</t>
  </si>
  <si>
    <t>1.2 E-MT (OPT)</t>
  </si>
  <si>
    <t>1.2 S-MT</t>
  </si>
  <si>
    <t>1.2 S-MT (OPT)</t>
  </si>
  <si>
    <t>1.2 SX-MT</t>
  </si>
  <si>
    <t>1.2 VX-MT</t>
  </si>
  <si>
    <t>1.2 S-CVT</t>
  </si>
  <si>
    <t>1.2 S-CVT (OPT)</t>
  </si>
  <si>
    <t>1.2 VX-CVT</t>
  </si>
  <si>
    <r>
      <t>AMAZE</t>
    </r>
    <r>
      <rPr>
        <b/>
        <sz val="16"/>
        <rFont val="Calibri"/>
        <family val="2"/>
        <charset val="1"/>
      </rPr>
      <t xml:space="preserve"> (i-DTEC)</t>
    </r>
  </si>
  <si>
    <t>1.5 E-MT</t>
  </si>
  <si>
    <t>1.5 E-MT (OPT)</t>
  </si>
  <si>
    <t>1.5 S-MT</t>
  </si>
  <si>
    <t>1.5 S-MT (OPT)</t>
  </si>
  <si>
    <t>1.5 SX-MT</t>
  </si>
  <si>
    <t>1.5 VX-MT</t>
  </si>
  <si>
    <t xml:space="preserve">Amaze E           : </t>
  </si>
  <si>
    <r>
      <t xml:space="preserve">Base Colours : </t>
    </r>
    <r>
      <rPr>
        <sz val="10"/>
        <rFont val="Calibri"/>
        <family val="2"/>
        <charset val="1"/>
      </rPr>
      <t>Tafeta White, Alabaster Silver,Golden Brown</t>
    </r>
  </si>
  <si>
    <t xml:space="preserve">Amaze S / VX   : </t>
  </si>
  <si>
    <r>
      <t xml:space="preserve">Base Colours : </t>
    </r>
    <r>
      <rPr>
        <sz val="10"/>
        <rFont val="Calibri"/>
        <family val="2"/>
        <charset val="1"/>
      </rPr>
      <t xml:space="preserve">Tafeta White, Alabaster Silver,Golden Brown,Urban Titanium,Bluish Titanium,Carnelian Red </t>
    </r>
    <r>
      <rPr>
        <b/>
        <sz val="10"/>
        <rFont val="Calibri"/>
        <family val="2"/>
        <charset val="1"/>
      </rPr>
      <t>Pearl Premium Colour :</t>
    </r>
    <r>
      <rPr>
        <sz val="10"/>
        <rFont val="Calibri"/>
        <family val="2"/>
        <charset val="1"/>
      </rPr>
      <t xml:space="preserve"> Orchid White Pearl</t>
    </r>
  </si>
  <si>
    <t>VX CVT</t>
  </si>
  <si>
    <t>ZX CVT</t>
  </si>
  <si>
    <r>
      <t xml:space="preserve">MMC CITY </t>
    </r>
    <r>
      <rPr>
        <b/>
        <sz val="16"/>
        <rFont val="Calibri"/>
        <family val="2"/>
        <charset val="1"/>
      </rPr>
      <t>(i-DTEC)</t>
    </r>
  </si>
  <si>
    <t>ZX MT</t>
  </si>
  <si>
    <t>2.    Ex – Showroom Price &amp; Ex – Warehouse Price is inclusive of 28% GST &amp; 15% CESS</t>
  </si>
  <si>
    <r>
      <t xml:space="preserve"> BR-V </t>
    </r>
    <r>
      <rPr>
        <b/>
        <sz val="16"/>
        <rFont val="Calibri"/>
        <family val="2"/>
        <charset val="1"/>
      </rPr>
      <t>(i-VTEC)</t>
    </r>
  </si>
  <si>
    <t>BR-V (i-DTEC)</t>
  </si>
  <si>
    <t xml:space="preserve">BR-V E           : </t>
  </si>
  <si>
    <t xml:space="preserve">BR-V S / V / VX   : </t>
  </si>
  <si>
    <r>
      <t xml:space="preserve">Base Colours : </t>
    </r>
    <r>
      <rPr>
        <sz val="10"/>
        <rFont val="Calibri"/>
        <family val="2"/>
        <charset val="1"/>
      </rPr>
      <t xml:space="preserve">Tafeta White, Alabaster Silver,Golden Brown,Urban Titanium,Carnelian Red </t>
    </r>
    <r>
      <rPr>
        <b/>
        <sz val="10"/>
        <rFont val="Calibri"/>
        <family val="2"/>
        <charset val="1"/>
      </rPr>
      <t>Pearl Premium Colour :</t>
    </r>
    <r>
      <rPr>
        <sz val="10"/>
        <rFont val="Calibri"/>
        <family val="2"/>
        <charset val="1"/>
      </rPr>
      <t xml:space="preserve"> Orchid White Pearl</t>
    </r>
  </si>
  <si>
    <t>2 YEARS STANDARD WARRANTY + 2 YEARS EXTENDED WARRANTY + 4 YEARS ROADSIDE ASSISTANCE</t>
  </si>
  <si>
    <t>Base Colours : Alabaster Silver, New Sparkling Brown, Carnelian Red Pearl, Urban Titanium,</t>
  </si>
  <si>
    <t>NOTE :</t>
  </si>
  <si>
    <t>Mumbai - Pricelist</t>
  </si>
  <si>
    <t>Pricelist - other then Mumbai</t>
  </si>
  <si>
    <t>Pricelist - Mumbai</t>
  </si>
  <si>
    <t>VIVA  HONDA</t>
  </si>
  <si>
    <t>Showrrom No:43777777</t>
  </si>
  <si>
    <t>Website: www.vivahonda.in</t>
  </si>
  <si>
    <t>HONDA BRIO</t>
  </si>
  <si>
    <t>HONDA JAZZ</t>
  </si>
  <si>
    <t>HONDA WRV</t>
  </si>
  <si>
    <t>HONDA AMAZE</t>
  </si>
  <si>
    <t>HONDA CITY (MMC)</t>
  </si>
  <si>
    <t>HONDA BRV</t>
  </si>
  <si>
    <t>HONDA CRV</t>
  </si>
  <si>
    <r>
      <t xml:space="preserve">   </t>
    </r>
    <r>
      <rPr>
        <b/>
        <sz val="20"/>
        <color indexed="10"/>
        <rFont val="Calibri"/>
        <family val="2"/>
      </rPr>
      <t xml:space="preserve">                      GROUND FLOOR,VIKAS CENTRE,S.V.ROAD,SANTACRUZ(W), MUMBAI - 400054</t>
    </r>
  </si>
  <si>
    <t>HONDA ACCORD</t>
  </si>
  <si>
    <t>ACCORD</t>
  </si>
  <si>
    <t>HYBRID</t>
  </si>
  <si>
    <t>9.   Baisc Accessory includes only cushion</t>
  </si>
  <si>
    <t>V MT (2WD -  2017) - SPL</t>
  </si>
  <si>
    <t>V CVT (2WD -  2017) - SPL</t>
  </si>
  <si>
    <t>ARYA EX S/R</t>
  </si>
  <si>
    <t>ARYA INS IND</t>
  </si>
  <si>
    <t>ARYA INS COR</t>
  </si>
  <si>
    <t>ARYA EX S/R DIFF</t>
  </si>
  <si>
    <t>ARYA INS IND DIFF</t>
  </si>
  <si>
    <t>ARYA INS COR DIFF</t>
  </si>
  <si>
    <t>4.    *  In case of Hypothecation Rs 1500/- will be charged extra</t>
  </si>
  <si>
    <t>5.    Temporary Registration Charges of Rs 1500/- will be charged for SELF / NO  Registration</t>
  </si>
  <si>
    <t>2.    Ex – Showroom Price &amp; Ex – Warehouse Price is inclusive of 28% GST &amp; 20% CESS</t>
  </si>
  <si>
    <t>2.    Ex – Showroom Price &amp; Ex – Warehouse Price is inclusive of 28% GST &amp; 17% CESS</t>
  </si>
  <si>
    <r>
      <t xml:space="preserve">All Payments to be made in the name of </t>
    </r>
    <r>
      <rPr>
        <b/>
        <sz val="14"/>
        <rFont val="Calibri"/>
        <family val="2"/>
        <charset val="1"/>
      </rPr>
      <t>" VCM AGENCIES PVT LTD "</t>
    </r>
    <r>
      <rPr>
        <sz val="14"/>
        <rFont val="Calibri"/>
        <family val="2"/>
        <charset val="1"/>
      </rPr>
      <t xml:space="preserve">  Payable at </t>
    </r>
    <r>
      <rPr>
        <b/>
        <sz val="14"/>
        <rFont val="Calibri"/>
        <family val="2"/>
        <charset val="1"/>
      </rPr>
      <t>MUMBAI.</t>
    </r>
  </si>
  <si>
    <t>1.2 S(OP) MT (PRIVILEGE)</t>
  </si>
  <si>
    <t>FASTag</t>
  </si>
  <si>
    <t>S (O) MT</t>
  </si>
  <si>
    <t>1.5 VX-MT AVN</t>
  </si>
  <si>
    <t>1.5 V-CVT SENSORS</t>
  </si>
  <si>
    <t>1.5 S-MT SENSORS</t>
  </si>
  <si>
    <t>1.5 V-MT SENSORS</t>
  </si>
  <si>
    <t>RETURN TO INVOICE VALUE</t>
  </si>
  <si>
    <t>S (OP) MT Pride Edition</t>
  </si>
  <si>
    <t>CR-V</t>
  </si>
  <si>
    <t>NEW HONDA AMAZE</t>
  </si>
  <si>
    <r>
      <t xml:space="preserve"> NEW </t>
    </r>
    <r>
      <rPr>
        <b/>
        <i/>
        <sz val="16"/>
        <rFont val="Calibri"/>
        <family val="2"/>
        <charset val="1"/>
      </rPr>
      <t>AMAZE</t>
    </r>
    <r>
      <rPr>
        <b/>
        <sz val="16"/>
        <rFont val="Calibri"/>
        <family val="2"/>
        <charset val="1"/>
      </rPr>
      <t xml:space="preserve"> (i-VTEC)</t>
    </r>
  </si>
  <si>
    <r>
      <t>NEW AMAZE</t>
    </r>
    <r>
      <rPr>
        <b/>
        <sz val="16"/>
        <rFont val="Calibri"/>
        <family val="2"/>
        <charset val="1"/>
      </rPr>
      <t xml:space="preserve"> (i-DTEC)</t>
    </r>
  </si>
  <si>
    <t>1.2 V-MT</t>
  </si>
  <si>
    <t>1.2 V-CVT</t>
  </si>
  <si>
    <t>1.5 V-MT</t>
  </si>
  <si>
    <t>1.5 S-CVT</t>
  </si>
  <si>
    <t>1.5 V-CVT</t>
  </si>
  <si>
    <t xml:space="preserve">Amaze S / V / VX   : </t>
  </si>
  <si>
    <t>Base Colours : Lunar Silver Pearl Premium Colour : Orchid White Pearl</t>
  </si>
  <si>
    <t>Base Colours : Lunar Silver, Golden Brown, Modern Steel, Radiant Red Pearl Premium Colour : Orchid White Pearl</t>
  </si>
  <si>
    <t xml:space="preserve">Ex. Warranty (4th Year &amp; 5th Year / Unlimited Kms) </t>
  </si>
  <si>
    <t>10.  * Also Available Optial Accessories package (Chrome)at Rs 9999/- and Essentio Package at Rs 2999/-  (Labour and fitment charges of Rs 487/- (Essentio Package including GST) and Rs 766 (Chrome Package including GST)</t>
  </si>
  <si>
    <r>
      <t xml:space="preserve">   </t>
    </r>
    <r>
      <rPr>
        <b/>
        <sz val="20"/>
        <color indexed="10"/>
        <rFont val="Cambria"/>
        <family val="1"/>
        <scheme val="major"/>
      </rPr>
      <t xml:space="preserve">                      GROUND FLOOR,VIKAS CENTRE,S.V.ROAD,SANTACRUZ(W), MUMBAI - 400054</t>
    </r>
  </si>
  <si>
    <t xml:space="preserve">VX CVT </t>
  </si>
  <si>
    <t xml:space="preserve">Ex. Warranty (4th &amp; 5th Year) </t>
  </si>
  <si>
    <t>RSA (4 Year)</t>
  </si>
  <si>
    <t>6.    Temporary Registration Charges of Rs 1500/- will be charged for SELF / NO  Registration</t>
  </si>
  <si>
    <t>7.    Tax Collected at Source (TCS) is @1% of Ex-showroom price w.e.f 1st June 2016, where Ex-Showroom price is more than Rs.10 Lacs.</t>
  </si>
  <si>
    <t>8.    No cash payment will be accepted against car invoice. Any part payment made in cash against car invoice then TCS will be charged @1% on car invoice value as per income tax section 206 C</t>
  </si>
  <si>
    <t>9.   Connected car feature is enabled on the Honda Connect application only after installation of "Connected Device".
*"CONNECTED DEVICE" IS PROVIDED BY MINDA I-CONNECT PVT &amp; MARKETED BY HONDA ACCESS INDIA PVT LTD.
&amp; IS AVAILABLE WITH AUTHORIZED DEALERS OF HONDA CARS INDIA LIMITED. PLEASE READ THE “TERMS OF USE” OF MINDA I-CONNECT PRIVATE LIMITED CAREFULLY TO UNDERSTAND, ACCEPT AND AVAIL SERVICES MENTIONED THEREIN.</t>
  </si>
  <si>
    <t>10.  Additional Rs 2,490 /- to be paid online to Minda for Honda Connect Subscription for 1 year.</t>
  </si>
  <si>
    <t>5.   *  RTO SMART CARD CHARGES RS. 200/- will be charged extra for all registration.</t>
  </si>
  <si>
    <t>Showroom No:43777777</t>
  </si>
  <si>
    <t>S MT (ALIVE)</t>
  </si>
  <si>
    <t>Price List w.e.f. : Sep 26, 2018</t>
  </si>
  <si>
    <t>CR-V 2.0 CVT (I-VTEC)-2HU-2018</t>
  </si>
  <si>
    <t>CR-V 1.6 9AT (I-DTEC)-2HU-2018</t>
  </si>
  <si>
    <t>CR-V 1.6 AWD 9AT (I-DTEC)-2HU-2018</t>
  </si>
  <si>
    <t xml:space="preserve">10. Booking Cancellation Charges Rs. 5000/- </t>
  </si>
  <si>
    <t xml:space="preserve">11. Booking Cancellation Charges Rs. 5000/- </t>
  </si>
  <si>
    <t>9.    Connected car feature is enabled on the Honda Connect application only after installation of "Connected Device".
*"CONNECTED DEVICE" IS PROVIDED BY MINDA I-CONNECT PVT &amp; MARKETED BY HONDA ACCESS INDIA PVT LTD.
 IS AVAILABLE WITH AUTHORIZED DEALERS OF HONDA CARS INDIA LIMITED. PLEASE READ THE “TERMS OF USE” OF MINDA I-CONNECT PRIVATE LIMITED CAREFULLY TO UNDERSTAND, ACCEPT AND AVAIL SERVICES MENTIONED THEREIN.</t>
  </si>
  <si>
    <t xml:space="preserve">10.  Additional Rs 2,490 /- to be paid online to Minda for Honda Connect Subscription for 1 year </t>
  </si>
  <si>
    <t xml:space="preserve">        *  RTO SMART CARD CHARGES RS. 200/- will be charged extra for all registration.</t>
  </si>
  <si>
    <t xml:space="preserve">       *  RTO SMART CARD CHARGES RS. 200/- will be charged extra for all registration.</t>
  </si>
  <si>
    <t>3 YEARS STANDARD WARRANTY + 2 YEARS EXTENDED WARRANTY + 4 YEARS ROADSIDE ASSISTANCE</t>
  </si>
  <si>
    <t>Price List w.e.f. : Jan 10, 2019</t>
  </si>
  <si>
    <t>Tax Collected at Source (TCS)</t>
  </si>
  <si>
    <t>Nil Dep</t>
  </si>
  <si>
    <t>On Road Price with Optional ADD Ons CORPORATE</t>
  </si>
  <si>
    <t>On Road Price with Optional ADD Ons INDIVIDUAL</t>
  </si>
  <si>
    <t>TOTAL ONROAD PRICE</t>
  </si>
  <si>
    <r>
      <rPr>
        <b/>
        <sz val="10"/>
        <color indexed="8"/>
        <rFont val="Calibri"/>
        <family val="2"/>
      </rPr>
      <t>Pearl Premium Colour</t>
    </r>
    <r>
      <rPr>
        <sz val="10"/>
        <color indexed="8"/>
        <rFont val="Calibri"/>
        <family val="2"/>
      </rPr>
      <t xml:space="preserve"> : Orchid White Pearl</t>
    </r>
  </si>
  <si>
    <t>9.    Additional Rs 2,490 /- to be paid online to Minda for Honda Connect Subscription for 1 year.</t>
  </si>
  <si>
    <t>10.  Booking Cancellation Charges Rs. 5000/-</t>
  </si>
  <si>
    <t>MMC  CITY (i-VTEC)</t>
  </si>
  <si>
    <r>
      <t xml:space="preserve">Base Colours : </t>
    </r>
    <r>
      <rPr>
        <sz val="10"/>
        <rFont val="Calibri"/>
        <family val="2"/>
      </rPr>
      <t xml:space="preserve"> Lunar Silver, Radiant Red, Golden Brown, Modern Steel</t>
    </r>
  </si>
  <si>
    <r>
      <t xml:space="preserve">   </t>
    </r>
    <r>
      <rPr>
        <b/>
        <sz val="16"/>
        <color indexed="10"/>
        <rFont val="Calibri"/>
        <family val="2"/>
      </rPr>
      <t xml:space="preserve">                      GROUND FLOOR,VIKAS CENTRE,S.V.ROAD,SANTACRUZ(W), MUMBAI - 400054</t>
    </r>
  </si>
  <si>
    <t>Price List w.e.f. : 01st Feb, 2019</t>
  </si>
  <si>
    <t>Price List w.e.f. : 1st Feb, 2019</t>
  </si>
  <si>
    <t>TOTAL ONROAD PRICE WITH OPTIONAL ADDONS</t>
  </si>
</sst>
</file>

<file path=xl/styles.xml><?xml version="1.0" encoding="utf-8"?>
<styleSheet xmlns="http://schemas.openxmlformats.org/spreadsheetml/2006/main">
  <fonts count="43"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1"/>
      <color indexed="8"/>
      <name val="Calibri"/>
      <family val="2"/>
    </font>
    <font>
      <b/>
      <sz val="10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sz val="16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0"/>
      <color indexed="8"/>
      <name val="Calibri"/>
      <family val="2"/>
    </font>
    <font>
      <sz val="10"/>
      <color indexed="8"/>
      <name val="Calibri"/>
      <family val="2"/>
      <charset val="1"/>
    </font>
    <font>
      <sz val="12"/>
      <name val="Calibri"/>
      <family val="2"/>
      <charset val="1"/>
    </font>
    <font>
      <b/>
      <sz val="13"/>
      <name val="Calibri"/>
      <family val="2"/>
      <charset val="1"/>
    </font>
    <font>
      <b/>
      <u/>
      <sz val="10"/>
      <name val="Calibri"/>
      <family val="2"/>
      <charset val="1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b/>
      <i/>
      <sz val="16"/>
      <name val="Calibri"/>
      <family val="2"/>
      <charset val="1"/>
    </font>
    <font>
      <b/>
      <sz val="10"/>
      <color indexed="8"/>
      <name val="Calibri"/>
      <family val="2"/>
    </font>
    <font>
      <b/>
      <vertAlign val="superscript"/>
      <sz val="10"/>
      <name val="Calibri"/>
      <family val="2"/>
      <charset val="1"/>
    </font>
    <font>
      <b/>
      <sz val="16"/>
      <name val="Calibri"/>
      <family val="2"/>
    </font>
    <font>
      <sz val="12"/>
      <name val="Arial"/>
      <family val="2"/>
      <charset val="1"/>
    </font>
    <font>
      <b/>
      <sz val="9"/>
      <name val="Calibri"/>
      <family val="2"/>
    </font>
    <font>
      <b/>
      <sz val="20"/>
      <color indexed="10"/>
      <name val="Calibri"/>
      <family val="2"/>
    </font>
    <font>
      <b/>
      <sz val="16"/>
      <name val="Arial"/>
      <family val="2"/>
    </font>
    <font>
      <b/>
      <sz val="14"/>
      <name val="Calibri"/>
      <family val="2"/>
      <charset val="1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36"/>
      <color indexed="10"/>
      <name val="Calibri"/>
      <family val="2"/>
      <scheme val="minor"/>
    </font>
    <font>
      <b/>
      <sz val="22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4"/>
      <name val="Calibri"/>
      <family val="2"/>
      <charset val="1"/>
    </font>
    <font>
      <sz val="11"/>
      <color theme="1"/>
      <name val="Calibri"/>
      <family val="2"/>
    </font>
    <font>
      <b/>
      <sz val="36"/>
      <color indexed="10"/>
      <name val="Cambria"/>
      <family val="1"/>
      <scheme val="major"/>
    </font>
    <font>
      <b/>
      <sz val="22"/>
      <color indexed="10"/>
      <name val="Cambria"/>
      <family val="1"/>
      <scheme val="major"/>
    </font>
    <font>
      <b/>
      <sz val="20"/>
      <color indexed="10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sz val="10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  <scheme val="minor"/>
    </font>
    <font>
      <b/>
      <sz val="16"/>
      <color indexed="10"/>
      <name val="Calibri"/>
      <family val="2"/>
    </font>
    <font>
      <sz val="16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31"/>
      </patternFill>
    </fill>
  </fills>
  <borders count="10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hair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27">
    <xf numFmtId="0" fontId="0" fillId="0" borderId="0" xfId="0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1" fontId="8" fillId="0" borderId="5" xfId="3" applyNumberFormat="1" applyFont="1" applyBorder="1" applyAlignment="1">
      <alignment horizontal="center" vertical="center" wrapText="1"/>
    </xf>
    <xf numFmtId="1" fontId="8" fillId="0" borderId="4" xfId="3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1" fontId="8" fillId="0" borderId="6" xfId="3" applyNumberFormat="1" applyFont="1" applyBorder="1" applyAlignment="1">
      <alignment horizontal="center" vertical="center" wrapText="1"/>
    </xf>
    <xf numFmtId="1" fontId="8" fillId="0" borderId="9" xfId="3" applyNumberFormat="1" applyFont="1" applyBorder="1" applyAlignment="1">
      <alignment horizontal="center" vertical="center" wrapText="1"/>
    </xf>
    <xf numFmtId="1" fontId="8" fillId="0" borderId="10" xfId="3" applyNumberFormat="1" applyFont="1" applyBorder="1" applyAlignment="1">
      <alignment horizontal="center" vertical="center" wrapText="1"/>
    </xf>
    <xf numFmtId="1" fontId="8" fillId="0" borderId="11" xfId="3" applyNumberFormat="1" applyFont="1" applyBorder="1" applyAlignment="1">
      <alignment horizontal="center" vertical="center" wrapText="1"/>
    </xf>
    <xf numFmtId="1" fontId="8" fillId="0" borderId="12" xfId="3" applyNumberFormat="1" applyFont="1" applyBorder="1" applyAlignment="1">
      <alignment horizontal="center" vertical="center" wrapText="1"/>
    </xf>
    <xf numFmtId="1" fontId="8" fillId="0" borderId="14" xfId="3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textRotation="90"/>
    </xf>
    <xf numFmtId="0" fontId="4" fillId="2" borderId="15" xfId="2" applyFont="1" applyFill="1" applyBorder="1" applyAlignment="1">
      <alignment horizontal="center" vertical="center" wrapText="1"/>
    </xf>
    <xf numFmtId="1" fontId="8" fillId="0" borderId="19" xfId="3" applyNumberFormat="1" applyFont="1" applyBorder="1" applyAlignment="1">
      <alignment horizontal="center" vertical="center" wrapText="1"/>
    </xf>
    <xf numFmtId="0" fontId="4" fillId="2" borderId="22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4" fillId="2" borderId="26" xfId="3" applyFont="1" applyFill="1" applyBorder="1" applyAlignment="1">
      <alignment horizontal="center" vertical="center" wrapText="1"/>
    </xf>
    <xf numFmtId="0" fontId="4" fillId="2" borderId="22" xfId="2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left" vertical="center" wrapText="1"/>
    </xf>
    <xf numFmtId="0" fontId="8" fillId="0" borderId="0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3" fontId="11" fillId="0" borderId="0" xfId="2" applyNumberFormat="1" applyFont="1" applyFill="1" applyBorder="1" applyAlignment="1">
      <alignment horizontal="left" vertical="center"/>
    </xf>
    <xf numFmtId="3" fontId="12" fillId="0" borderId="0" xfId="2" applyNumberFormat="1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1" fillId="0" borderId="0" xfId="2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11" fillId="0" borderId="0" xfId="2" applyNumberFormat="1" applyFont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2" applyFont="1" applyBorder="1" applyAlignment="1">
      <alignment horizontal="left" vertical="center"/>
    </xf>
    <xf numFmtId="0" fontId="29" fillId="0" borderId="0" xfId="2" applyFont="1" applyFill="1" applyBorder="1" applyAlignment="1">
      <alignment horizontal="center" vertical="center" wrapText="1"/>
    </xf>
    <xf numFmtId="1" fontId="8" fillId="0" borderId="0" xfId="3" applyNumberFormat="1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textRotation="90"/>
    </xf>
    <xf numFmtId="3" fontId="20" fillId="0" borderId="0" xfId="2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left" vertical="center" wrapText="1"/>
    </xf>
    <xf numFmtId="1" fontId="8" fillId="0" borderId="59" xfId="3" applyNumberFormat="1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/>
    </xf>
    <xf numFmtId="1" fontId="8" fillId="0" borderId="18" xfId="3" applyNumberFormat="1" applyFont="1" applyBorder="1" applyAlignment="1">
      <alignment horizontal="center" vertical="center" wrapText="1"/>
    </xf>
    <xf numFmtId="1" fontId="8" fillId="3" borderId="18" xfId="3" applyNumberFormat="1" applyFont="1" applyFill="1" applyBorder="1" applyAlignment="1">
      <alignment horizontal="center" vertical="center" wrapText="1"/>
    </xf>
    <xf numFmtId="1" fontId="8" fillId="0" borderId="18" xfId="3" applyNumberFormat="1" applyFont="1" applyFill="1" applyBorder="1" applyAlignment="1">
      <alignment horizontal="center" vertical="center"/>
    </xf>
    <xf numFmtId="1" fontId="8" fillId="0" borderId="18" xfId="3" applyNumberFormat="1" applyFont="1" applyFill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1" fontId="8" fillId="0" borderId="20" xfId="3" applyNumberFormat="1" applyFont="1" applyBorder="1" applyAlignment="1">
      <alignment horizontal="center" vertical="center" wrapText="1"/>
    </xf>
    <xf numFmtId="1" fontId="8" fillId="3" borderId="20" xfId="3" applyNumberFormat="1" applyFont="1" applyFill="1" applyBorder="1" applyAlignment="1">
      <alignment horizontal="center" vertical="center" wrapText="1"/>
    </xf>
    <xf numFmtId="1" fontId="8" fillId="0" borderId="20" xfId="3" applyNumberFormat="1" applyFont="1" applyFill="1" applyBorder="1" applyAlignment="1">
      <alignment horizontal="center" vertical="center"/>
    </xf>
    <xf numFmtId="1" fontId="8" fillId="0" borderId="20" xfId="3" applyNumberFormat="1" applyFont="1" applyFill="1" applyBorder="1" applyAlignment="1">
      <alignment horizontal="center" vertical="center" wrapText="1"/>
    </xf>
    <xf numFmtId="1" fontId="8" fillId="3" borderId="63" xfId="3" applyNumberFormat="1" applyFont="1" applyFill="1" applyBorder="1" applyAlignment="1">
      <alignment horizontal="center" vertical="center" wrapText="1"/>
    </xf>
    <xf numFmtId="1" fontId="8" fillId="3" borderId="65" xfId="3" applyNumberFormat="1" applyFont="1" applyFill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/>
    </xf>
    <xf numFmtId="1" fontId="8" fillId="0" borderId="21" xfId="3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/>
    </xf>
    <xf numFmtId="1" fontId="8" fillId="3" borderId="21" xfId="3" applyNumberFormat="1" applyFont="1" applyFill="1" applyBorder="1" applyAlignment="1">
      <alignment horizontal="center" vertical="center" wrapText="1"/>
    </xf>
    <xf numFmtId="1" fontId="8" fillId="0" borderId="21" xfId="3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" fontId="0" fillId="0" borderId="68" xfId="0" applyNumberFormat="1" applyBorder="1" applyAlignment="1">
      <alignment horizontal="center" vertical="center"/>
    </xf>
    <xf numFmtId="0" fontId="4" fillId="2" borderId="69" xfId="2" applyFont="1" applyFill="1" applyBorder="1" applyAlignment="1">
      <alignment horizontal="center" vertical="center" wrapText="1"/>
    </xf>
    <xf numFmtId="0" fontId="4" fillId="2" borderId="58" xfId="3" applyFont="1" applyFill="1" applyBorder="1" applyAlignment="1">
      <alignment horizontal="center" vertical="center" wrapText="1"/>
    </xf>
    <xf numFmtId="3" fontId="20" fillId="0" borderId="18" xfId="2" applyNumberFormat="1" applyFont="1" applyBorder="1" applyAlignment="1">
      <alignment horizontal="center" vertical="center"/>
    </xf>
    <xf numFmtId="3" fontId="20" fillId="0" borderId="20" xfId="2" applyNumberFormat="1" applyFont="1" applyBorder="1" applyAlignment="1">
      <alignment horizontal="center" vertical="center"/>
    </xf>
    <xf numFmtId="3" fontId="20" fillId="0" borderId="21" xfId="2" applyNumberFormat="1" applyFont="1" applyBorder="1" applyAlignment="1">
      <alignment horizontal="center" vertical="center"/>
    </xf>
    <xf numFmtId="0" fontId="4" fillId="2" borderId="69" xfId="3" applyFont="1" applyFill="1" applyBorder="1" applyAlignment="1">
      <alignment horizontal="center" vertical="center" wrapText="1"/>
    </xf>
    <xf numFmtId="0" fontId="4" fillId="2" borderId="80" xfId="2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1" fontId="8" fillId="3" borderId="83" xfId="3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4" borderId="0" xfId="1" applyFont="1" applyFill="1" applyBorder="1" applyAlignment="1">
      <alignment horizontal="left" vertical="center" wrapText="1"/>
    </xf>
    <xf numFmtId="0" fontId="4" fillId="2" borderId="69" xfId="3" applyFont="1" applyFill="1" applyBorder="1" applyAlignment="1">
      <alignment horizontal="center" vertical="center" wrapText="1"/>
    </xf>
    <xf numFmtId="0" fontId="8" fillId="0" borderId="0" xfId="2" applyFont="1" applyFill="1" applyBorder="1"/>
    <xf numFmtId="0" fontId="4" fillId="0" borderId="0" xfId="2" applyFont="1" applyBorder="1" applyAlignment="1"/>
    <xf numFmtId="14" fontId="0" fillId="0" borderId="0" xfId="0" applyNumberFormat="1" applyAlignment="1">
      <alignment horizontal="left" vertical="center"/>
    </xf>
    <xf numFmtId="1" fontId="8" fillId="0" borderId="65" xfId="3" applyNumberFormat="1" applyFont="1" applyFill="1" applyBorder="1" applyAlignment="1">
      <alignment horizontal="center" vertical="center" wrapText="1"/>
    </xf>
    <xf numFmtId="1" fontId="8" fillId="0" borderId="4" xfId="3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1" fontId="8" fillId="0" borderId="83" xfId="3" applyNumberFormat="1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left" vertical="center" wrapText="1"/>
    </xf>
    <xf numFmtId="0" fontId="10" fillId="4" borderId="0" xfId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38" fillId="0" borderId="18" xfId="3" applyNumberFormat="1" applyFont="1" applyFill="1" applyBorder="1" applyAlignment="1">
      <alignment horizontal="center" vertical="center" wrapText="1"/>
    </xf>
    <xf numFmtId="1" fontId="38" fillId="0" borderId="21" xfId="3" applyNumberFormat="1" applyFont="1" applyFill="1" applyBorder="1" applyAlignment="1">
      <alignment horizontal="center" vertical="center" wrapText="1"/>
    </xf>
    <xf numFmtId="3" fontId="25" fillId="0" borderId="90" xfId="0" applyNumberFormat="1" applyFont="1" applyFill="1" applyBorder="1" applyAlignment="1">
      <alignment horizontal="center" vertical="center"/>
    </xf>
    <xf numFmtId="0" fontId="4" fillId="2" borderId="89" xfId="3" applyFont="1" applyFill="1" applyBorder="1" applyAlignment="1">
      <alignment horizontal="center" vertical="center" wrapText="1"/>
    </xf>
    <xf numFmtId="1" fontId="8" fillId="0" borderId="92" xfId="3" applyNumberFormat="1" applyFont="1" applyBorder="1" applyAlignment="1">
      <alignment horizontal="center" vertical="center" wrapText="1"/>
    </xf>
    <xf numFmtId="1" fontId="8" fillId="0" borderId="93" xfId="3" applyNumberFormat="1" applyFont="1" applyBorder="1" applyAlignment="1">
      <alignment horizontal="center" vertical="center" wrapText="1"/>
    </xf>
    <xf numFmtId="3" fontId="1" fillId="0" borderId="94" xfId="0" applyNumberFormat="1" applyFont="1" applyFill="1" applyBorder="1" applyAlignment="1">
      <alignment horizontal="center" vertical="center"/>
    </xf>
    <xf numFmtId="1" fontId="8" fillId="0" borderId="94" xfId="3" applyNumberFormat="1" applyFont="1" applyFill="1" applyBorder="1" applyAlignment="1">
      <alignment horizontal="center" vertical="center" wrapText="1"/>
    </xf>
    <xf numFmtId="0" fontId="8" fillId="0" borderId="63" xfId="2" applyFont="1" applyBorder="1" applyAlignment="1">
      <alignment horizontal="center" vertical="center"/>
    </xf>
    <xf numFmtId="0" fontId="8" fillId="0" borderId="65" xfId="2" applyFont="1" applyBorder="1" applyAlignment="1">
      <alignment horizontal="center" vertical="center"/>
    </xf>
    <xf numFmtId="0" fontId="8" fillId="0" borderId="65" xfId="2" applyFont="1" applyFill="1" applyBorder="1" applyAlignment="1">
      <alignment horizontal="center" vertical="center"/>
    </xf>
    <xf numFmtId="0" fontId="8" fillId="0" borderId="83" xfId="2" applyFont="1" applyFill="1" applyBorder="1" applyAlignment="1">
      <alignment horizontal="center" vertical="center"/>
    </xf>
    <xf numFmtId="1" fontId="8" fillId="0" borderId="62" xfId="3" applyNumberFormat="1" applyFont="1" applyFill="1" applyBorder="1" applyAlignment="1">
      <alignment horizontal="center" vertical="center" wrapText="1"/>
    </xf>
    <xf numFmtId="1" fontId="8" fillId="0" borderId="64" xfId="3" applyNumberFormat="1" applyFont="1" applyFill="1" applyBorder="1" applyAlignment="1">
      <alignment horizontal="center" vertical="center" wrapText="1"/>
    </xf>
    <xf numFmtId="1" fontId="8" fillId="0" borderId="66" xfId="3" applyNumberFormat="1" applyFont="1" applyFill="1" applyBorder="1" applyAlignment="1">
      <alignment horizontal="center" vertical="center" wrapText="1"/>
    </xf>
    <xf numFmtId="1" fontId="8" fillId="0" borderId="63" xfId="3" applyNumberFormat="1" applyFont="1" applyFill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91" xfId="0" applyNumberFormat="1" applyFill="1" applyBorder="1" applyAlignment="1">
      <alignment horizontal="center" vertical="center"/>
    </xf>
    <xf numFmtId="1" fontId="0" fillId="0" borderId="102" xfId="0" applyNumberFormat="1" applyFill="1" applyBorder="1" applyAlignment="1">
      <alignment horizontal="center" vertical="center"/>
    </xf>
    <xf numFmtId="0" fontId="8" fillId="0" borderId="83" xfId="2" applyFont="1" applyBorder="1" applyAlignment="1">
      <alignment horizontal="center" vertical="center"/>
    </xf>
    <xf numFmtId="1" fontId="8" fillId="0" borderId="77" xfId="3" applyNumberFormat="1" applyFont="1" applyBorder="1" applyAlignment="1">
      <alignment horizontal="center" vertical="center" wrapText="1"/>
    </xf>
    <xf numFmtId="1" fontId="8" fillId="0" borderId="78" xfId="3" applyNumberFormat="1" applyFont="1" applyBorder="1" applyAlignment="1">
      <alignment horizontal="center" vertical="center" wrapText="1"/>
    </xf>
    <xf numFmtId="1" fontId="8" fillId="0" borderId="79" xfId="3" applyNumberFormat="1" applyFont="1" applyBorder="1" applyAlignment="1">
      <alignment horizontal="center" vertical="center" wrapText="1"/>
    </xf>
    <xf numFmtId="1" fontId="8" fillId="6" borderId="74" xfId="3" applyNumberFormat="1" applyFont="1" applyFill="1" applyBorder="1" applyAlignment="1">
      <alignment horizontal="center" vertical="center" wrapText="1"/>
    </xf>
    <xf numFmtId="1" fontId="8" fillId="6" borderId="75" xfId="3" applyNumberFormat="1" applyFont="1" applyFill="1" applyBorder="1" applyAlignment="1">
      <alignment horizontal="center" vertical="center" wrapText="1"/>
    </xf>
    <xf numFmtId="1" fontId="8" fillId="6" borderId="76" xfId="3" applyNumberFormat="1" applyFont="1" applyFill="1" applyBorder="1" applyAlignment="1">
      <alignment horizontal="center" vertical="center" wrapText="1"/>
    </xf>
    <xf numFmtId="1" fontId="8" fillId="0" borderId="78" xfId="3" applyNumberFormat="1" applyFont="1" applyFill="1" applyBorder="1" applyAlignment="1">
      <alignment horizontal="center" vertical="center" wrapText="1"/>
    </xf>
    <xf numFmtId="0" fontId="4" fillId="10" borderId="96" xfId="3" applyFont="1" applyFill="1" applyBorder="1" applyAlignment="1">
      <alignment horizontal="center" vertical="center" wrapText="1"/>
    </xf>
    <xf numFmtId="0" fontId="4" fillId="10" borderId="97" xfId="3" applyFont="1" applyFill="1" applyBorder="1" applyAlignment="1">
      <alignment horizontal="center" vertical="center" wrapText="1"/>
    </xf>
    <xf numFmtId="0" fontId="4" fillId="10" borderId="97" xfId="2" applyFont="1" applyFill="1" applyBorder="1" applyAlignment="1">
      <alignment horizontal="center" vertical="center" wrapText="1"/>
    </xf>
    <xf numFmtId="0" fontId="4" fillId="10" borderId="21" xfId="2" applyFont="1" applyFill="1" applyBorder="1" applyAlignment="1">
      <alignment horizontal="center" vertical="center" wrapText="1"/>
    </xf>
    <xf numFmtId="0" fontId="4" fillId="10" borderId="98" xfId="2" applyFont="1" applyFill="1" applyBorder="1" applyAlignment="1">
      <alignment horizontal="center" vertical="center" wrapText="1"/>
    </xf>
    <xf numFmtId="0" fontId="4" fillId="10" borderId="98" xfId="3" applyFont="1" applyFill="1" applyBorder="1" applyAlignment="1">
      <alignment horizontal="center" vertical="center" wrapText="1"/>
    </xf>
    <xf numFmtId="0" fontId="4" fillId="10" borderId="15" xfId="2" applyFont="1" applyFill="1" applyBorder="1" applyAlignment="1">
      <alignment horizontal="center" vertical="center" wrapText="1"/>
    </xf>
    <xf numFmtId="0" fontId="30" fillId="0" borderId="0" xfId="2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10" fillId="4" borderId="0" xfId="1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center" vertical="center" wrapText="1"/>
    </xf>
    <xf numFmtId="1" fontId="38" fillId="0" borderId="20" xfId="3" applyNumberFormat="1" applyFont="1" applyFill="1" applyBorder="1" applyAlignment="1">
      <alignment horizontal="center" vertical="center" wrapText="1"/>
    </xf>
    <xf numFmtId="1" fontId="9" fillId="0" borderId="93" xfId="0" applyNumberFormat="1" applyFont="1" applyBorder="1" applyAlignment="1">
      <alignment horizontal="center" vertical="center"/>
    </xf>
    <xf numFmtId="1" fontId="9" fillId="0" borderId="105" xfId="0" applyNumberFormat="1" applyFont="1" applyBorder="1" applyAlignment="1">
      <alignment horizontal="center" vertical="center"/>
    </xf>
    <xf numFmtId="1" fontId="8" fillId="0" borderId="92" xfId="3" applyNumberFormat="1" applyFont="1" applyFill="1" applyBorder="1" applyAlignment="1">
      <alignment horizontal="center" vertical="center" wrapText="1"/>
    </xf>
    <xf numFmtId="1" fontId="8" fillId="0" borderId="93" xfId="3" applyNumberFormat="1" applyFont="1" applyFill="1" applyBorder="1" applyAlignment="1">
      <alignment horizontal="center" vertical="center" wrapText="1"/>
    </xf>
    <xf numFmtId="1" fontId="8" fillId="0" borderId="105" xfId="3" applyNumberFormat="1" applyFont="1" applyFill="1" applyBorder="1" applyAlignment="1">
      <alignment horizontal="center" vertical="center" wrapText="1"/>
    </xf>
    <xf numFmtId="1" fontId="8" fillId="3" borderId="74" xfId="3" applyNumberFormat="1" applyFont="1" applyFill="1" applyBorder="1" applyAlignment="1">
      <alignment horizontal="center" vertical="center" wrapText="1"/>
    </xf>
    <xf numFmtId="1" fontId="8" fillId="3" borderId="75" xfId="3" applyNumberFormat="1" applyFont="1" applyFill="1" applyBorder="1" applyAlignment="1">
      <alignment horizontal="center" vertical="center" wrapText="1"/>
    </xf>
    <xf numFmtId="1" fontId="8" fillId="3" borderId="76" xfId="3" applyNumberFormat="1" applyFont="1" applyFill="1" applyBorder="1" applyAlignment="1">
      <alignment horizontal="center" vertical="center" wrapText="1"/>
    </xf>
    <xf numFmtId="1" fontId="8" fillId="0" borderId="79" xfId="3" applyNumberFormat="1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left" vertical="center" wrapText="1"/>
    </xf>
    <xf numFmtId="0" fontId="6" fillId="0" borderId="35" xfId="2" applyFont="1" applyBorder="1" applyAlignment="1">
      <alignment horizontal="center" vertical="center" textRotation="90"/>
    </xf>
    <xf numFmtId="0" fontId="6" fillId="0" borderId="38" xfId="2" applyFont="1" applyBorder="1" applyAlignment="1">
      <alignment horizontal="center" vertical="center" textRotation="90"/>
    </xf>
    <xf numFmtId="0" fontId="7" fillId="0" borderId="62" xfId="2" applyFont="1" applyBorder="1" applyAlignment="1">
      <alignment horizontal="center" vertical="center" wrapText="1"/>
    </xf>
    <xf numFmtId="0" fontId="7" fillId="0" borderId="64" xfId="2" applyFont="1" applyBorder="1" applyAlignment="1">
      <alignment horizontal="center" vertical="center" wrapText="1"/>
    </xf>
    <xf numFmtId="0" fontId="7" fillId="0" borderId="66" xfId="2" applyFont="1" applyBorder="1" applyAlignment="1">
      <alignment horizontal="center" vertical="center" wrapText="1"/>
    </xf>
    <xf numFmtId="0" fontId="4" fillId="5" borderId="33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4" fillId="5" borderId="34" xfId="2" applyFont="1" applyFill="1" applyBorder="1" applyAlignment="1">
      <alignment horizontal="center" vertical="center"/>
    </xf>
    <xf numFmtId="0" fontId="4" fillId="2" borderId="43" xfId="3" applyFont="1" applyFill="1" applyBorder="1" applyAlignment="1">
      <alignment horizontal="center" vertical="center" textRotation="90" wrapText="1"/>
    </xf>
    <xf numFmtId="0" fontId="4" fillId="2" borderId="44" xfId="3" applyFont="1" applyFill="1" applyBorder="1" applyAlignment="1">
      <alignment horizontal="center" vertical="center" wrapText="1"/>
    </xf>
    <xf numFmtId="0" fontId="4" fillId="2" borderId="56" xfId="3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4" fillId="2" borderId="42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top" wrapText="1"/>
    </xf>
    <xf numFmtId="0" fontId="4" fillId="2" borderId="34" xfId="2" applyFont="1" applyFill="1" applyBorder="1" applyAlignment="1">
      <alignment horizontal="center" vertical="top" wrapText="1"/>
    </xf>
    <xf numFmtId="0" fontId="24" fillId="0" borderId="30" xfId="2" applyFont="1" applyBorder="1" applyAlignment="1">
      <alignment horizontal="center" vertical="center"/>
    </xf>
    <xf numFmtId="0" fontId="24" fillId="0" borderId="31" xfId="2" applyFont="1" applyBorder="1" applyAlignment="1">
      <alignment horizontal="center" vertical="center"/>
    </xf>
    <xf numFmtId="0" fontId="24" fillId="0" borderId="32" xfId="2" applyFont="1" applyBorder="1" applyAlignment="1">
      <alignment horizontal="center" vertical="center"/>
    </xf>
    <xf numFmtId="0" fontId="4" fillId="5" borderId="3" xfId="2" applyFont="1" applyFill="1" applyBorder="1" applyAlignment="1">
      <alignment horizontal="center" vertical="center"/>
    </xf>
    <xf numFmtId="0" fontId="4" fillId="2" borderId="35" xfId="3" applyFont="1" applyFill="1" applyBorder="1" applyAlignment="1">
      <alignment horizontal="center" vertical="center" textRotation="90" wrapText="1"/>
    </xf>
    <xf numFmtId="0" fontId="4" fillId="2" borderId="36" xfId="3" applyFont="1" applyFill="1" applyBorder="1" applyAlignment="1">
      <alignment horizontal="center" vertical="center" wrapText="1"/>
    </xf>
    <xf numFmtId="0" fontId="4" fillId="2" borderId="37" xfId="3" applyFont="1" applyFill="1" applyBorder="1" applyAlignment="1">
      <alignment horizontal="center" vertical="center" wrapText="1"/>
    </xf>
    <xf numFmtId="0" fontId="4" fillId="2" borderId="60" xfId="3" applyFont="1" applyFill="1" applyBorder="1" applyAlignment="1">
      <alignment horizontal="center" vertical="center" wrapText="1"/>
    </xf>
    <xf numFmtId="0" fontId="4" fillId="2" borderId="61" xfId="3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4" fillId="2" borderId="49" xfId="2" applyFont="1" applyFill="1" applyBorder="1" applyAlignment="1">
      <alignment horizontal="center" vertical="top" wrapText="1"/>
    </xf>
    <xf numFmtId="0" fontId="4" fillId="2" borderId="47" xfId="2" applyFont="1" applyFill="1" applyBorder="1" applyAlignment="1">
      <alignment horizontal="center" vertical="top" wrapText="1"/>
    </xf>
    <xf numFmtId="0" fontId="27" fillId="0" borderId="27" xfId="2" applyFont="1" applyBorder="1" applyAlignment="1">
      <alignment horizontal="center" vertical="center"/>
    </xf>
    <xf numFmtId="0" fontId="27" fillId="0" borderId="28" xfId="2" applyFont="1" applyBorder="1" applyAlignment="1">
      <alignment horizontal="center" vertical="center"/>
    </xf>
    <xf numFmtId="0" fontId="27" fillId="0" borderId="29" xfId="2" applyFont="1" applyBorder="1" applyAlignment="1">
      <alignment horizontal="center" vertical="center"/>
    </xf>
    <xf numFmtId="0" fontId="28" fillId="0" borderId="16" xfId="2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28" fillId="0" borderId="17" xfId="2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6" fillId="0" borderId="71" xfId="2" applyFont="1" applyBorder="1" applyAlignment="1">
      <alignment horizontal="center" vertical="center" textRotation="90"/>
    </xf>
    <xf numFmtId="0" fontId="16" fillId="0" borderId="72" xfId="2" applyFont="1" applyBorder="1" applyAlignment="1">
      <alignment horizontal="center" vertical="center" textRotation="90"/>
    </xf>
    <xf numFmtId="0" fontId="16" fillId="0" borderId="73" xfId="2" applyFont="1" applyBorder="1" applyAlignment="1">
      <alignment horizontal="center" vertical="center" textRotation="90"/>
    </xf>
    <xf numFmtId="0" fontId="6" fillId="0" borderId="71" xfId="2" applyFont="1" applyBorder="1" applyAlignment="1">
      <alignment horizontal="center" vertical="center" textRotation="90"/>
    </xf>
    <xf numFmtId="0" fontId="6" fillId="0" borderId="72" xfId="2" applyFont="1" applyBorder="1" applyAlignment="1">
      <alignment horizontal="center" vertical="center" textRotation="90"/>
    </xf>
    <xf numFmtId="0" fontId="6" fillId="0" borderId="73" xfId="2" applyFont="1" applyBorder="1" applyAlignment="1">
      <alignment horizontal="center" vertical="center" textRotation="90"/>
    </xf>
    <xf numFmtId="0" fontId="4" fillId="2" borderId="45" xfId="3" applyFont="1" applyFill="1" applyBorder="1" applyAlignment="1">
      <alignment horizontal="center" vertical="center" textRotation="90" wrapText="1"/>
    </xf>
    <xf numFmtId="0" fontId="4" fillId="2" borderId="55" xfId="3" applyFont="1" applyFill="1" applyBorder="1" applyAlignment="1">
      <alignment horizontal="center" vertical="center" textRotation="90" wrapText="1"/>
    </xf>
    <xf numFmtId="0" fontId="4" fillId="2" borderId="1" xfId="2" applyFont="1" applyFill="1" applyBorder="1" applyAlignment="1">
      <alignment horizontal="center" vertical="center" wrapText="1"/>
    </xf>
    <xf numFmtId="0" fontId="16" fillId="0" borderId="84" xfId="2" applyFont="1" applyBorder="1" applyAlignment="1">
      <alignment horizontal="center" vertical="center" textRotation="90"/>
    </xf>
    <xf numFmtId="0" fontId="16" fillId="0" borderId="86" xfId="2" applyFont="1" applyBorder="1" applyAlignment="1">
      <alignment horizontal="center" vertical="center" textRotation="90"/>
    </xf>
    <xf numFmtId="0" fontId="16" fillId="0" borderId="87" xfId="2" applyFont="1" applyBorder="1" applyAlignment="1">
      <alignment horizontal="center" vertical="center" textRotation="90"/>
    </xf>
    <xf numFmtId="0" fontId="6" fillId="0" borderId="84" xfId="2" applyFont="1" applyBorder="1" applyAlignment="1">
      <alignment horizontal="center" vertical="center" textRotation="90"/>
    </xf>
    <xf numFmtId="0" fontId="6" fillId="0" borderId="86" xfId="2" applyFont="1" applyBorder="1" applyAlignment="1">
      <alignment horizontal="center" vertical="center" textRotation="90"/>
    </xf>
    <xf numFmtId="0" fontId="6" fillId="0" borderId="87" xfId="2" applyFont="1" applyBorder="1" applyAlignment="1">
      <alignment horizontal="center" vertical="center" textRotation="90"/>
    </xf>
    <xf numFmtId="0" fontId="8" fillId="0" borderId="0" xfId="2" applyFont="1" applyBorder="1" applyAlignment="1">
      <alignment horizontal="left" vertical="center" wrapText="1"/>
    </xf>
    <xf numFmtId="0" fontId="7" fillId="7" borderId="64" xfId="2" applyFont="1" applyFill="1" applyBorder="1" applyAlignment="1">
      <alignment horizontal="center" vertical="center" wrapText="1"/>
    </xf>
    <xf numFmtId="0" fontId="7" fillId="7" borderId="66" xfId="2" applyFont="1" applyFill="1" applyBorder="1" applyAlignment="1">
      <alignment horizontal="center" vertical="center" wrapText="1"/>
    </xf>
    <xf numFmtId="0" fontId="7" fillId="7" borderId="81" xfId="2" applyFont="1" applyFill="1" applyBorder="1" applyAlignment="1">
      <alignment horizontal="center" vertical="center" wrapText="1"/>
    </xf>
    <xf numFmtId="0" fontId="7" fillId="7" borderId="88" xfId="2" applyFont="1" applyFill="1" applyBorder="1" applyAlignment="1">
      <alignment horizontal="center" vertical="center" wrapText="1"/>
    </xf>
    <xf numFmtId="0" fontId="16" fillId="0" borderId="74" xfId="2" applyFont="1" applyBorder="1" applyAlignment="1">
      <alignment horizontal="center" vertical="center" textRotation="90"/>
    </xf>
    <xf numFmtId="0" fontId="16" fillId="0" borderId="75" xfId="2" applyFont="1" applyBorder="1" applyAlignment="1">
      <alignment horizontal="center" vertical="center" textRotation="90"/>
    </xf>
    <xf numFmtId="0" fontId="16" fillId="0" borderId="76" xfId="2" applyFont="1" applyBorder="1" applyAlignment="1">
      <alignment horizontal="center" vertical="center" textRotation="90"/>
    </xf>
    <xf numFmtId="0" fontId="4" fillId="5" borderId="35" xfId="2" applyFont="1" applyFill="1" applyBorder="1" applyAlignment="1">
      <alignment horizontal="center" vertical="center"/>
    </xf>
    <xf numFmtId="0" fontId="4" fillId="5" borderId="46" xfId="2" applyFont="1" applyFill="1" applyBorder="1" applyAlignment="1">
      <alignment horizontal="center" vertical="center"/>
    </xf>
    <xf numFmtId="0" fontId="4" fillId="5" borderId="47" xfId="2" applyFont="1" applyFill="1" applyBorder="1" applyAlignment="1">
      <alignment horizontal="center" vertical="center"/>
    </xf>
    <xf numFmtId="0" fontId="4" fillId="2" borderId="67" xfId="3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64" xfId="2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4" fillId="2" borderId="62" xfId="3" applyFont="1" applyFill="1" applyBorder="1" applyAlignment="1">
      <alignment horizontal="center" vertical="center" textRotation="90" wrapText="1"/>
    </xf>
    <xf numFmtId="0" fontId="4" fillId="2" borderId="81" xfId="3" applyFont="1" applyFill="1" applyBorder="1" applyAlignment="1">
      <alignment horizontal="center" vertical="center" textRotation="90" wrapText="1"/>
    </xf>
    <xf numFmtId="0" fontId="4" fillId="2" borderId="20" xfId="3" applyFont="1" applyFill="1" applyBorder="1" applyAlignment="1">
      <alignment horizontal="center" vertical="center" wrapText="1"/>
    </xf>
    <xf numFmtId="0" fontId="4" fillId="2" borderId="69" xfId="3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2" borderId="20" xfId="2" applyFont="1" applyFill="1" applyBorder="1" applyAlignment="1">
      <alignment horizontal="center" vertical="center" wrapText="1"/>
    </xf>
    <xf numFmtId="0" fontId="4" fillId="2" borderId="63" xfId="2" applyFont="1" applyFill="1" applyBorder="1" applyAlignment="1">
      <alignment horizontal="center" vertical="center" wrapText="1"/>
    </xf>
    <xf numFmtId="0" fontId="7" fillId="9" borderId="62" xfId="2" applyFont="1" applyFill="1" applyBorder="1" applyAlignment="1">
      <alignment horizontal="center" vertical="center" wrapText="1"/>
    </xf>
    <xf numFmtId="0" fontId="7" fillId="9" borderId="64" xfId="2" applyFont="1" applyFill="1" applyBorder="1" applyAlignment="1">
      <alignment horizontal="center" vertical="center" wrapText="1"/>
    </xf>
    <xf numFmtId="0" fontId="7" fillId="9" borderId="66" xfId="2" applyFont="1" applyFill="1" applyBorder="1" applyAlignment="1">
      <alignment horizontal="center" vertical="center" wrapText="1"/>
    </xf>
    <xf numFmtId="0" fontId="16" fillId="0" borderId="85" xfId="2" applyFont="1" applyBorder="1" applyAlignment="1">
      <alignment horizontal="center" vertical="center" textRotation="90"/>
    </xf>
    <xf numFmtId="0" fontId="7" fillId="8" borderId="62" xfId="2" applyFont="1" applyFill="1" applyBorder="1" applyAlignment="1">
      <alignment horizontal="center" vertical="center" wrapText="1"/>
    </xf>
    <xf numFmtId="0" fontId="7" fillId="8" borderId="64" xfId="2" applyFont="1" applyFill="1" applyBorder="1" applyAlignment="1">
      <alignment horizontal="center" vertical="center" wrapText="1"/>
    </xf>
    <xf numFmtId="0" fontId="7" fillId="8" borderId="66" xfId="2" applyFont="1" applyFill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4" fillId="10" borderId="100" xfId="3" applyFont="1" applyFill="1" applyBorder="1" applyAlignment="1">
      <alignment horizontal="center" vertical="center" textRotation="90" wrapText="1"/>
    </xf>
    <xf numFmtId="0" fontId="4" fillId="10" borderId="101" xfId="3" applyFont="1" applyFill="1" applyBorder="1" applyAlignment="1">
      <alignment horizontal="center" vertical="center" textRotation="90" wrapText="1"/>
    </xf>
    <xf numFmtId="0" fontId="4" fillId="10" borderId="36" xfId="3" applyFont="1" applyFill="1" applyBorder="1" applyAlignment="1">
      <alignment horizontal="center" vertical="center" wrapText="1"/>
    </xf>
    <xf numFmtId="0" fontId="4" fillId="10" borderId="37" xfId="3" applyFont="1" applyFill="1" applyBorder="1" applyAlignment="1">
      <alignment horizontal="center" vertical="center" wrapText="1"/>
    </xf>
    <xf numFmtId="0" fontId="4" fillId="10" borderId="38" xfId="3" applyFont="1" applyFill="1" applyBorder="1" applyAlignment="1">
      <alignment horizontal="center" vertical="center" wrapText="1"/>
    </xf>
    <xf numFmtId="0" fontId="4" fillId="10" borderId="99" xfId="3" applyFont="1" applyFill="1" applyBorder="1" applyAlignment="1">
      <alignment horizontal="center" vertical="center" wrapText="1"/>
    </xf>
    <xf numFmtId="0" fontId="5" fillId="10" borderId="50" xfId="0" applyFont="1" applyFill="1" applyBorder="1" applyAlignment="1">
      <alignment horizontal="center" vertical="center" wrapText="1"/>
    </xf>
    <xf numFmtId="0" fontId="5" fillId="10" borderId="51" xfId="0" applyFont="1" applyFill="1" applyBorder="1" applyAlignment="1">
      <alignment horizontal="center" vertical="center" wrapText="1"/>
    </xf>
    <xf numFmtId="0" fontId="5" fillId="10" borderId="53" xfId="0" applyFont="1" applyFill="1" applyBorder="1" applyAlignment="1">
      <alignment horizontal="center" vertical="center" wrapText="1"/>
    </xf>
    <xf numFmtId="0" fontId="4" fillId="10" borderId="95" xfId="2" applyFont="1" applyFill="1" applyBorder="1" applyAlignment="1">
      <alignment horizontal="center" vertical="center" wrapText="1"/>
    </xf>
    <xf numFmtId="0" fontId="4" fillId="10" borderId="51" xfId="2" applyFont="1" applyFill="1" applyBorder="1" applyAlignment="1">
      <alignment horizontal="center" vertical="center" wrapText="1"/>
    </xf>
    <xf numFmtId="0" fontId="4" fillId="10" borderId="52" xfId="2" applyFont="1" applyFill="1" applyBorder="1" applyAlignment="1">
      <alignment horizontal="center" vertical="center" wrapText="1"/>
    </xf>
    <xf numFmtId="0" fontId="40" fillId="0" borderId="16" xfId="2" applyFont="1" applyBorder="1" applyAlignment="1">
      <alignment horizontal="center" vertical="center"/>
    </xf>
    <xf numFmtId="0" fontId="40" fillId="0" borderId="0" xfId="2" applyFont="1" applyBorder="1" applyAlignment="1">
      <alignment horizontal="center" vertical="center"/>
    </xf>
    <xf numFmtId="0" fontId="40" fillId="0" borderId="17" xfId="2" applyFont="1" applyBorder="1" applyAlignment="1">
      <alignment horizontal="center" vertical="center"/>
    </xf>
    <xf numFmtId="0" fontId="16" fillId="0" borderId="62" xfId="2" applyFont="1" applyBorder="1" applyAlignment="1">
      <alignment horizontal="center" vertical="center" textRotation="90"/>
    </xf>
    <xf numFmtId="0" fontId="16" fillId="0" borderId="64" xfId="2" applyFont="1" applyBorder="1" applyAlignment="1">
      <alignment horizontal="center" vertical="center" textRotation="90"/>
    </xf>
    <xf numFmtId="0" fontId="16" fillId="0" borderId="66" xfId="2" applyFont="1" applyBorder="1" applyAlignment="1">
      <alignment horizontal="center" vertical="center" textRotation="90"/>
    </xf>
    <xf numFmtId="0" fontId="7" fillId="0" borderId="20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39" fillId="0" borderId="20" xfId="2" applyFont="1" applyBorder="1" applyAlignment="1">
      <alignment horizontal="center" vertical="center" wrapText="1"/>
    </xf>
    <xf numFmtId="0" fontId="39" fillId="0" borderId="18" xfId="2" applyFont="1" applyBorder="1" applyAlignment="1">
      <alignment horizontal="center" vertical="center" wrapText="1"/>
    </xf>
    <xf numFmtId="0" fontId="39" fillId="0" borderId="21" xfId="2" applyFont="1" applyBorder="1" applyAlignment="1">
      <alignment horizontal="center" vertical="center" wrapText="1"/>
    </xf>
    <xf numFmtId="0" fontId="19" fillId="0" borderId="84" xfId="2" applyFont="1" applyBorder="1" applyAlignment="1">
      <alignment horizontal="center" vertical="center" textRotation="90"/>
    </xf>
    <xf numFmtId="0" fontId="19" fillId="0" borderId="86" xfId="2" applyFont="1" applyBorder="1" applyAlignment="1">
      <alignment horizontal="center" vertical="center" textRotation="90"/>
    </xf>
    <xf numFmtId="0" fontId="19" fillId="0" borderId="87" xfId="2" applyFont="1" applyBorder="1" applyAlignment="1">
      <alignment horizontal="center" vertical="center" textRotation="90"/>
    </xf>
    <xf numFmtId="1" fontId="26" fillId="0" borderId="64" xfId="0" applyNumberFormat="1" applyFont="1" applyBorder="1" applyAlignment="1">
      <alignment horizontal="center" vertical="center" wrapText="1"/>
    </xf>
    <xf numFmtId="1" fontId="26" fillId="0" borderId="62" xfId="0" applyNumberFormat="1" applyFont="1" applyBorder="1" applyAlignment="1">
      <alignment horizontal="center" vertical="center" wrapText="1"/>
    </xf>
    <xf numFmtId="1" fontId="26" fillId="0" borderId="66" xfId="0" applyNumberFormat="1" applyFont="1" applyBorder="1" applyAlignment="1">
      <alignment horizontal="center" vertical="center" wrapText="1"/>
    </xf>
    <xf numFmtId="0" fontId="4" fillId="2" borderId="100" xfId="3" applyFont="1" applyFill="1" applyBorder="1" applyAlignment="1">
      <alignment horizontal="center" vertical="center" textRotation="90" wrapText="1"/>
    </xf>
    <xf numFmtId="0" fontId="4" fillId="2" borderId="103" xfId="3" applyFont="1" applyFill="1" applyBorder="1" applyAlignment="1">
      <alignment horizontal="center" vertical="center" textRotation="90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104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82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4" fillId="2" borderId="50" xfId="2" applyFont="1" applyFill="1" applyBorder="1" applyAlignment="1">
      <alignment horizontal="center" vertical="center" wrapText="1"/>
    </xf>
    <xf numFmtId="0" fontId="4" fillId="2" borderId="52" xfId="2" applyFont="1" applyFill="1" applyBorder="1" applyAlignment="1">
      <alignment horizontal="center" vertical="center" wrapText="1"/>
    </xf>
    <xf numFmtId="0" fontId="19" fillId="0" borderId="71" xfId="2" applyFont="1" applyBorder="1" applyAlignment="1">
      <alignment horizontal="center" vertical="center" textRotation="90"/>
    </xf>
    <xf numFmtId="0" fontId="19" fillId="0" borderId="73" xfId="2" applyFont="1" applyBorder="1" applyAlignment="1">
      <alignment horizontal="center" vertical="center" textRotation="90"/>
    </xf>
    <xf numFmtId="0" fontId="29" fillId="0" borderId="62" xfId="2" applyFont="1" applyFill="1" applyBorder="1" applyAlignment="1">
      <alignment horizontal="center" vertical="center" wrapText="1"/>
    </xf>
    <xf numFmtId="0" fontId="29" fillId="0" borderId="66" xfId="2" applyFont="1" applyFill="1" applyBorder="1" applyAlignment="1">
      <alignment horizontal="center" vertical="center" wrapText="1"/>
    </xf>
    <xf numFmtId="0" fontId="19" fillId="0" borderId="78" xfId="2" applyFont="1" applyBorder="1" applyAlignment="1">
      <alignment horizontal="center" vertical="center" textRotation="90"/>
    </xf>
    <xf numFmtId="0" fontId="0" fillId="0" borderId="5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7" fillId="0" borderId="30" xfId="2" applyFont="1" applyBorder="1" applyAlignment="1">
      <alignment horizontal="center" vertical="center"/>
    </xf>
    <xf numFmtId="0" fontId="37" fillId="0" borderId="31" xfId="2" applyFont="1" applyBorder="1" applyAlignment="1">
      <alignment horizontal="center" vertical="center"/>
    </xf>
    <xf numFmtId="0" fontId="37" fillId="0" borderId="32" xfId="2" applyFont="1" applyBorder="1" applyAlignment="1">
      <alignment horizontal="center" vertical="center"/>
    </xf>
    <xf numFmtId="0" fontId="33" fillId="0" borderId="27" xfId="2" applyFont="1" applyBorder="1" applyAlignment="1">
      <alignment horizontal="center" vertical="center"/>
    </xf>
    <xf numFmtId="0" fontId="33" fillId="0" borderId="28" xfId="2" applyFont="1" applyBorder="1" applyAlignment="1">
      <alignment horizontal="center" vertical="center"/>
    </xf>
    <xf numFmtId="0" fontId="33" fillId="0" borderId="29" xfId="2" applyFont="1" applyBorder="1" applyAlignment="1">
      <alignment horizontal="center" vertical="center"/>
    </xf>
    <xf numFmtId="0" fontId="34" fillId="0" borderId="16" xfId="2" applyFont="1" applyBorder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34" fillId="0" borderId="17" xfId="2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</cellXfs>
  <cellStyles count="4">
    <cellStyle name="Excel Built-in Normal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314325</xdr:colOff>
      <xdr:row>1</xdr:row>
      <xdr:rowOff>342900</xdr:rowOff>
    </xdr:to>
    <xdr:pic>
      <xdr:nvPicPr>
        <xdr:cNvPr id="14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38100"/>
          <a:ext cx="895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</xdr:row>
      <xdr:rowOff>85725</xdr:rowOff>
    </xdr:from>
    <xdr:to>
      <xdr:col>2</xdr:col>
      <xdr:colOff>371475</xdr:colOff>
      <xdr:row>2</xdr:row>
      <xdr:rowOff>342900</xdr:rowOff>
    </xdr:to>
    <xdr:pic>
      <xdr:nvPicPr>
        <xdr:cNvPr id="14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1038225"/>
          <a:ext cx="11144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57147</xdr:colOff>
      <xdr:row>0</xdr:row>
      <xdr:rowOff>38100</xdr:rowOff>
    </xdr:from>
    <xdr:to>
      <xdr:col>2</xdr:col>
      <xdr:colOff>400047</xdr:colOff>
      <xdr:row>1</xdr:row>
      <xdr:rowOff>323851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 flipV="1">
          <a:off x="485772" y="38100"/>
          <a:ext cx="96202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2</xdr:row>
      <xdr:rowOff>85725</xdr:rowOff>
    </xdr:from>
    <xdr:to>
      <xdr:col>3</xdr:col>
      <xdr:colOff>161925</xdr:colOff>
      <xdr:row>2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" y="1038225"/>
          <a:ext cx="187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304799</xdr:colOff>
      <xdr:row>1</xdr:row>
      <xdr:rowOff>314326</xdr:rowOff>
    </xdr:from>
    <xdr:to>
      <xdr:col>2</xdr:col>
      <xdr:colOff>666750</xdr:colOff>
      <xdr:row>2</xdr:row>
      <xdr:rowOff>276226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799" y="904876"/>
          <a:ext cx="1409701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104775</xdr:rowOff>
    </xdr:from>
    <xdr:to>
      <xdr:col>2</xdr:col>
      <xdr:colOff>123825</xdr:colOff>
      <xdr:row>2</xdr:row>
      <xdr:rowOff>66675</xdr:rowOff>
    </xdr:to>
    <xdr:pic>
      <xdr:nvPicPr>
        <xdr:cNvPr id="35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04775"/>
          <a:ext cx="10382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85725</xdr:rowOff>
    </xdr:from>
    <xdr:to>
      <xdr:col>2</xdr:col>
      <xdr:colOff>47625</xdr:colOff>
      <xdr:row>3</xdr:row>
      <xdr:rowOff>76200</xdr:rowOff>
    </xdr:to>
    <xdr:pic>
      <xdr:nvPicPr>
        <xdr:cNvPr id="350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1038225"/>
          <a:ext cx="971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104775</xdr:rowOff>
    </xdr:from>
    <xdr:to>
      <xdr:col>2</xdr:col>
      <xdr:colOff>123825</xdr:colOff>
      <xdr:row>2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04775"/>
          <a:ext cx="10382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85725</xdr:rowOff>
    </xdr:from>
    <xdr:to>
      <xdr:col>2</xdr:col>
      <xdr:colOff>47625</xdr:colOff>
      <xdr:row>3</xdr:row>
      <xdr:rowOff>76200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1038225"/>
          <a:ext cx="971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314325</xdr:colOff>
      <xdr:row>2</xdr:row>
      <xdr:rowOff>0</xdr:rowOff>
    </xdr:to>
    <xdr:pic>
      <xdr:nvPicPr>
        <xdr:cNvPr id="45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38100"/>
          <a:ext cx="923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2</xdr:row>
      <xdr:rowOff>85725</xdr:rowOff>
    </xdr:from>
    <xdr:to>
      <xdr:col>2</xdr:col>
      <xdr:colOff>371475</xdr:colOff>
      <xdr:row>3</xdr:row>
      <xdr:rowOff>0</xdr:rowOff>
    </xdr:to>
    <xdr:pic>
      <xdr:nvPicPr>
        <xdr:cNvPr id="45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1038225"/>
          <a:ext cx="10191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3</xdr:col>
      <xdr:colOff>371475</xdr:colOff>
      <xdr:row>0</xdr:row>
      <xdr:rowOff>57150</xdr:rowOff>
    </xdr:to>
    <xdr:pic>
      <xdr:nvPicPr>
        <xdr:cNvPr id="55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38100"/>
          <a:ext cx="21907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2</xdr:row>
      <xdr:rowOff>85725</xdr:rowOff>
    </xdr:from>
    <xdr:to>
      <xdr:col>2</xdr:col>
      <xdr:colOff>638175</xdr:colOff>
      <xdr:row>2</xdr:row>
      <xdr:rowOff>85725</xdr:rowOff>
    </xdr:to>
    <xdr:pic>
      <xdr:nvPicPr>
        <xdr:cNvPr id="55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" y="1038225"/>
          <a:ext cx="187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28575</xdr:rowOff>
    </xdr:from>
    <xdr:to>
      <xdr:col>3</xdr:col>
      <xdr:colOff>266700</xdr:colOff>
      <xdr:row>2</xdr:row>
      <xdr:rowOff>152400</xdr:rowOff>
    </xdr:to>
    <xdr:pic>
      <xdr:nvPicPr>
        <xdr:cNvPr id="104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8575"/>
          <a:ext cx="10668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314326</xdr:colOff>
      <xdr:row>2</xdr:row>
      <xdr:rowOff>114300</xdr:rowOff>
    </xdr:from>
    <xdr:to>
      <xdr:col>3</xdr:col>
      <xdr:colOff>342900</xdr:colOff>
      <xdr:row>3</xdr:row>
      <xdr:rowOff>209550</xdr:rowOff>
    </xdr:to>
    <xdr:pic>
      <xdr:nvPicPr>
        <xdr:cNvPr id="1050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1" y="1066800"/>
          <a:ext cx="1228724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314325</xdr:colOff>
      <xdr:row>2</xdr:row>
      <xdr:rowOff>0</xdr:rowOff>
    </xdr:to>
    <xdr:pic>
      <xdr:nvPicPr>
        <xdr:cNvPr id="98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38100"/>
          <a:ext cx="10001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2</xdr:col>
      <xdr:colOff>314325</xdr:colOff>
      <xdr:row>2</xdr:row>
      <xdr:rowOff>0</xdr:rowOff>
    </xdr:to>
    <xdr:pic>
      <xdr:nvPicPr>
        <xdr:cNvPr id="99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38100"/>
          <a:ext cx="10001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2</xdr:col>
      <xdr:colOff>314325</xdr:colOff>
      <xdr:row>2</xdr:row>
      <xdr:rowOff>0</xdr:rowOff>
    </xdr:to>
    <xdr:pic>
      <xdr:nvPicPr>
        <xdr:cNvPr id="99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38100"/>
          <a:ext cx="10001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0</xdr:row>
      <xdr:rowOff>38099</xdr:rowOff>
    </xdr:from>
    <xdr:to>
      <xdr:col>2</xdr:col>
      <xdr:colOff>523875</xdr:colOff>
      <xdr:row>2</xdr:row>
      <xdr:rowOff>152400</xdr:rowOff>
    </xdr:to>
    <xdr:pic>
      <xdr:nvPicPr>
        <xdr:cNvPr id="99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099"/>
          <a:ext cx="1123950" cy="1066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</xdr:row>
      <xdr:rowOff>133350</xdr:rowOff>
    </xdr:from>
    <xdr:to>
      <xdr:col>3</xdr:col>
      <xdr:colOff>28575</xdr:colOff>
      <xdr:row>3</xdr:row>
      <xdr:rowOff>142875</xdr:rowOff>
    </xdr:to>
    <xdr:pic>
      <xdr:nvPicPr>
        <xdr:cNvPr id="99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1085850"/>
          <a:ext cx="13144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123825</xdr:rowOff>
    </xdr:from>
    <xdr:to>
      <xdr:col>2</xdr:col>
      <xdr:colOff>390525</xdr:colOff>
      <xdr:row>2</xdr:row>
      <xdr:rowOff>314325</xdr:rowOff>
    </xdr:to>
    <xdr:pic>
      <xdr:nvPicPr>
        <xdr:cNvPr id="24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123825"/>
          <a:ext cx="14763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2</xdr:row>
      <xdr:rowOff>323850</xdr:rowOff>
    </xdr:from>
    <xdr:to>
      <xdr:col>2</xdr:col>
      <xdr:colOff>428625</xdr:colOff>
      <xdr:row>4</xdr:row>
      <xdr:rowOff>9525</xdr:rowOff>
    </xdr:to>
    <xdr:pic>
      <xdr:nvPicPr>
        <xdr:cNvPr id="24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1276350"/>
          <a:ext cx="16668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266699</xdr:rowOff>
    </xdr:from>
    <xdr:to>
      <xdr:col>3</xdr:col>
      <xdr:colOff>247650</xdr:colOff>
      <xdr:row>3</xdr:row>
      <xdr:rowOff>9524</xdr:rowOff>
    </xdr:to>
    <xdr:pic>
      <xdr:nvPicPr>
        <xdr:cNvPr id="84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266699"/>
          <a:ext cx="9429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3</xdr:row>
      <xdr:rowOff>28575</xdr:rowOff>
    </xdr:from>
    <xdr:to>
      <xdr:col>4</xdr:col>
      <xdr:colOff>85726</xdr:colOff>
      <xdr:row>4</xdr:row>
      <xdr:rowOff>28575</xdr:rowOff>
    </xdr:to>
    <xdr:pic>
      <xdr:nvPicPr>
        <xdr:cNvPr id="84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1343025"/>
          <a:ext cx="1666876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6"/>
  <sheetViews>
    <sheetView workbookViewId="0">
      <selection activeCell="B6" sqref="B6"/>
    </sheetView>
  </sheetViews>
  <sheetFormatPr defaultRowHeight="15"/>
  <cols>
    <col min="2" max="2" width="75" customWidth="1"/>
  </cols>
  <sheetData>
    <row r="1" spans="2:2">
      <c r="B1" s="1">
        <v>42237</v>
      </c>
    </row>
    <row r="2" spans="2:2">
      <c r="B2" t="s">
        <v>0</v>
      </c>
    </row>
    <row r="3" spans="2:2">
      <c r="B3" t="s">
        <v>1</v>
      </c>
    </row>
    <row r="4" spans="2:2">
      <c r="B4" t="s">
        <v>2</v>
      </c>
    </row>
    <row r="6" spans="2:2" ht="30">
      <c r="B6" s="2" t="s">
        <v>3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workbookViewId="0">
      <selection activeCell="A6" sqref="A6:T6"/>
    </sheetView>
  </sheetViews>
  <sheetFormatPr defaultColWidth="11.7109375" defaultRowHeight="15"/>
  <cols>
    <col min="1" max="1" width="4.7109375" style="31" customWidth="1"/>
    <col min="2" max="2" width="6.42578125" style="31" bestFit="1" customWidth="1"/>
    <col min="3" max="3" width="6.7109375" style="31" customWidth="1"/>
    <col min="4" max="4" width="9" style="31" customWidth="1"/>
    <col min="5" max="5" width="11.7109375" style="31"/>
    <col min="6" max="6" width="9.7109375" style="31" customWidth="1"/>
    <col min="7" max="7" width="6.140625" style="31" customWidth="1"/>
    <col min="8" max="8" width="9.85546875" style="31" customWidth="1"/>
    <col min="9" max="9" width="11.7109375" style="31"/>
    <col min="10" max="10" width="9" style="31" customWidth="1"/>
    <col min="11" max="11" width="11.7109375" style="31"/>
    <col min="12" max="12" width="9" style="31" customWidth="1"/>
    <col min="13" max="13" width="5.5703125" style="31" bestFit="1" customWidth="1"/>
    <col min="14" max="14" width="9.7109375" style="31" customWidth="1"/>
    <col min="15" max="15" width="11.7109375" style="31"/>
    <col min="16" max="16" width="10.7109375" style="31" customWidth="1"/>
    <col min="17" max="17" width="10" style="31" customWidth="1"/>
    <col min="18" max="18" width="9.28515625" style="31" customWidth="1"/>
    <col min="19" max="19" width="9.7109375" style="31" customWidth="1"/>
    <col min="20" max="20" width="9.28515625" style="31" customWidth="1"/>
    <col min="21" max="28" width="11.7109375" style="31" hidden="1" customWidth="1"/>
    <col min="29" max="34" width="0" style="31" hidden="1" customWidth="1"/>
    <col min="35" max="16384" width="11.7109375" style="31"/>
  </cols>
  <sheetData>
    <row r="1" spans="1:24" ht="46.5">
      <c r="A1" s="210" t="s">
        <v>104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2"/>
    </row>
    <row r="2" spans="1:24" ht="28.5">
      <c r="A2" s="213" t="s">
        <v>114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5"/>
    </row>
    <row r="3" spans="1:24" ht="28.5">
      <c r="A3" s="213" t="s">
        <v>105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5"/>
    </row>
    <row r="4" spans="1:24" ht="28.5">
      <c r="A4" s="213" t="s">
        <v>106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5"/>
    </row>
    <row r="5" spans="1:24" ht="20.25" customHeight="1">
      <c r="A5" s="216" t="s">
        <v>115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8"/>
    </row>
    <row r="6" spans="1:24" ht="19.5" thickBot="1">
      <c r="A6" s="198" t="s">
        <v>167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200"/>
    </row>
    <row r="7" spans="1:24" ht="15.75" thickBot="1">
      <c r="A7" s="188" t="s">
        <v>103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</row>
    <row r="8" spans="1:24" ht="12.75" customHeight="1" thickBot="1">
      <c r="A8" s="225" t="s">
        <v>4</v>
      </c>
      <c r="B8" s="192" t="s">
        <v>5</v>
      </c>
      <c r="C8" s="312"/>
      <c r="D8" s="246" t="s">
        <v>6</v>
      </c>
      <c r="E8" s="246"/>
      <c r="F8" s="246"/>
      <c r="G8" s="246"/>
      <c r="H8" s="246"/>
      <c r="I8" s="246"/>
      <c r="J8" s="194" t="s">
        <v>7</v>
      </c>
      <c r="K8" s="194"/>
      <c r="L8" s="194"/>
      <c r="M8" s="194"/>
      <c r="N8" s="194"/>
      <c r="O8" s="194"/>
      <c r="P8" s="194"/>
      <c r="Q8" s="194"/>
      <c r="R8" s="194"/>
      <c r="S8" s="227" t="s">
        <v>9</v>
      </c>
      <c r="T8" s="227"/>
    </row>
    <row r="9" spans="1:24" ht="64.5" thickBot="1">
      <c r="A9" s="226"/>
      <c r="B9" s="313"/>
      <c r="C9" s="314"/>
      <c r="D9" s="3" t="s">
        <v>10</v>
      </c>
      <c r="E9" s="3" t="s">
        <v>11</v>
      </c>
      <c r="F9" s="4" t="s">
        <v>12</v>
      </c>
      <c r="G9" s="92" t="s">
        <v>133</v>
      </c>
      <c r="H9" s="4" t="s">
        <v>14</v>
      </c>
      <c r="I9" s="3" t="s">
        <v>62</v>
      </c>
      <c r="J9" s="3" t="s">
        <v>10</v>
      </c>
      <c r="K9" s="3" t="s">
        <v>15</v>
      </c>
      <c r="L9" s="4" t="s">
        <v>12</v>
      </c>
      <c r="M9" s="92" t="s">
        <v>133</v>
      </c>
      <c r="N9" s="4" t="s">
        <v>14</v>
      </c>
      <c r="O9" s="3" t="s">
        <v>62</v>
      </c>
      <c r="P9" s="5" t="s">
        <v>19</v>
      </c>
      <c r="Q9" s="5" t="s">
        <v>20</v>
      </c>
      <c r="R9" s="5" t="s">
        <v>21</v>
      </c>
      <c r="S9" s="5" t="s">
        <v>22</v>
      </c>
      <c r="T9" s="5" t="s">
        <v>23</v>
      </c>
    </row>
    <row r="10" spans="1:24" ht="38.25" customHeight="1" thickBot="1">
      <c r="A10" s="311" t="s">
        <v>116</v>
      </c>
      <c r="B10" s="309" t="s">
        <v>117</v>
      </c>
      <c r="C10" s="95" t="s">
        <v>26</v>
      </c>
      <c r="D10" s="79">
        <v>4343861.7507314496</v>
      </c>
      <c r="E10" s="102">
        <f>((D10*95%*3.283%)-((D10*95%*3.283%)*40%)+28205)+((D10*95%*3.283%)-((D10*95%*3.283%)*40%)+28205)*18%+(D10*95%*0.1%+350)+(D10*95%*0.1%+350)*18%-IF((((D10*95%*3.283%)-((D10*95%*3.283%)*40%))*2.5%)&gt;500,500,(((D10*95%*3.283%)-((D10*95%*3.283%)*40%))*2.5%))-IF((((D10*95%*3.283%)-((D10*95%*3.283%)*40%))*2.5%)&gt;500,500,(((D10*95%*3.283%)-((D10*95%*3.283%)*40%))*2.5%))*18%</f>
        <v>133893.16982915293</v>
      </c>
      <c r="F10" s="79">
        <f>(D10*20/100)+(D10*20/100)*2/100+1500+200</f>
        <v>887847.79714921571</v>
      </c>
      <c r="G10" s="79">
        <v>600</v>
      </c>
      <c r="H10" s="80">
        <f>D10+E10+F10+G10</f>
        <v>5366202.7177098179</v>
      </c>
      <c r="I10" s="82">
        <f>D10*1/100</f>
        <v>43438.617507314499</v>
      </c>
      <c r="J10" s="79">
        <f>D10</f>
        <v>4343861.7507314496</v>
      </c>
      <c r="K10" s="102">
        <f>((J10*95%*3.283%)-((J10*95%*3.283%)*40%)+25955)+((J10*95%*3.283%)-((J10*95%*3.283%)*40%)+25955)*18%+(J10*95%*0.1%+350)+(J10*95%*0.1%+350)*18%-IF((((J10*95%*3.283%)-((J10*95%*3.283%)*40%))*2.5%)&gt;500,500,(((J10*95%*3.283%)-((J10*95%*3.283%)*40%))*2.5%))-IF((((J10*95%*3.283%)-((J10*95%*3.283%)*40%))*2.5%)&gt;500,500,(((J10*95%*3.283%)-((J10*95%*3.283%)*40%))*2.5%))*18%</f>
        <v>131238.16982915293</v>
      </c>
      <c r="L10" s="82">
        <f>(J10*20/100)+(J10*20/100)*2/100+1500+200</f>
        <v>887847.79714921571</v>
      </c>
      <c r="M10" s="82">
        <v>600</v>
      </c>
      <c r="N10" s="80">
        <f>J10+K10+L10+M10</f>
        <v>5363547.7177098179</v>
      </c>
      <c r="O10" s="82">
        <f>J10*1/100</f>
        <v>43438.617507314499</v>
      </c>
      <c r="P10" s="82">
        <v>31653</v>
      </c>
      <c r="Q10" s="82">
        <v>31653</v>
      </c>
      <c r="R10" s="82">
        <v>7999</v>
      </c>
      <c r="S10" s="80">
        <f>H10+P10+R10</f>
        <v>5405854.7177098179</v>
      </c>
      <c r="T10" s="83">
        <f>N10+Q10+R10</f>
        <v>5403199.7177098179</v>
      </c>
      <c r="U10" s="32">
        <f>D10*95/100</f>
        <v>4126668.6631948771</v>
      </c>
      <c r="V10" s="32">
        <f>U10*0.65/100</f>
        <v>26823.346310766701</v>
      </c>
      <c r="W10" s="32">
        <f>V10*18/100</f>
        <v>4828.2023359380064</v>
      </c>
      <c r="X10" s="32">
        <f>V10+W10</f>
        <v>31651.548646704709</v>
      </c>
    </row>
    <row r="11" spans="1:24" ht="31.5" customHeight="1" thickBot="1">
      <c r="A11" s="311"/>
      <c r="B11" s="310"/>
      <c r="C11" s="96" t="s">
        <v>27</v>
      </c>
      <c r="D11" s="86">
        <v>4356362</v>
      </c>
      <c r="E11" s="102">
        <f>((D11*95%*3.283%)-((D11*95%*3.283%)*40%)+28205)+((D11*95%*3.283%)-((D11*95%*3.283%)*40%)+28205)*18%+(D11*95%*0.1%+350)+(D11*95%*0.1%+350)*18%-IF((((D11*95%*3.283%)-((D11*95%*3.283%)*40%))*2.5%)&gt;500,500,(((D11*95%*3.283%)-((D11*95%*3.283%)*40%))*2.5%))-IF((((D11*95%*3.283%)-((D11*95%*3.283%)*40%))*2.5%)&gt;500,500,(((D11*95%*3.283%)-((D11*95%*3.283%)*40%))*2.5%))*18%</f>
        <v>134183.20633779597</v>
      </c>
      <c r="F11" s="86">
        <f>(D11*20/100)+(D11*20/100)*2/100+1500+200</f>
        <v>890397.848</v>
      </c>
      <c r="G11" s="86">
        <v>600</v>
      </c>
      <c r="H11" s="88">
        <f>D11+E11+F11+G11</f>
        <v>5381543.0543377958</v>
      </c>
      <c r="I11" s="89">
        <f>D11*1/100</f>
        <v>43563.62</v>
      </c>
      <c r="J11" s="86">
        <f>D11</f>
        <v>4356362</v>
      </c>
      <c r="K11" s="102">
        <f>((J11*95%*3.283%)-((J11*95%*3.283%)*40%)+25955)+((J11*95%*3.283%)-((J11*95%*3.283%)*40%)+25955)*18%+(J11*95%*0.1%+350)+(J11*95%*0.1%+350)*18%-IF((((J11*95%*3.283%)-((J11*95%*3.283%)*40%))*2.5%)&gt;500,500,(((J11*95%*3.283%)-((J11*95%*3.283%)*40%))*2.5%))-IF((((J11*95%*3.283%)-((J11*95%*3.283%)*40%))*2.5%)&gt;500,500,(((J11*95%*3.283%)-((J11*95%*3.283%)*40%))*2.5%))*18%</f>
        <v>131528.20633779597</v>
      </c>
      <c r="L11" s="89">
        <f>(J11*20/100)+(J11*20/100)*2/100+1500+200</f>
        <v>890397.848</v>
      </c>
      <c r="M11" s="89">
        <v>600</v>
      </c>
      <c r="N11" s="88">
        <f>J11+K11+L11+M11</f>
        <v>5378888.0543377958</v>
      </c>
      <c r="O11" s="89">
        <f>J11*1/100</f>
        <v>43563.62</v>
      </c>
      <c r="P11" s="89">
        <v>31744</v>
      </c>
      <c r="Q11" s="89">
        <v>31744</v>
      </c>
      <c r="R11" s="89">
        <v>7999</v>
      </c>
      <c r="S11" s="88">
        <f>H11+P11+R11</f>
        <v>5421286.0543377958</v>
      </c>
      <c r="T11" s="101">
        <f>N11+Q11+R11</f>
        <v>5418631.0543377958</v>
      </c>
      <c r="U11" s="32">
        <f>D11*95/100</f>
        <v>4138543.9</v>
      </c>
      <c r="V11" s="32">
        <f>U11*0.65/100</f>
        <v>26900.535350000002</v>
      </c>
      <c r="W11" s="32">
        <f>V11*18/100</f>
        <v>4842.0963630000006</v>
      </c>
      <c r="X11" s="32">
        <f>V11+W11</f>
        <v>31742.631713000002</v>
      </c>
    </row>
    <row r="12" spans="1:24" ht="15.75" thickBot="1"/>
    <row r="13" spans="1:24" ht="15.75" thickBot="1">
      <c r="A13" s="188" t="s">
        <v>102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</row>
    <row r="14" spans="1:24" ht="15.75" thickBot="1">
      <c r="A14" s="225" t="s">
        <v>4</v>
      </c>
      <c r="B14" s="191" t="s">
        <v>5</v>
      </c>
      <c r="C14" s="191"/>
      <c r="D14" s="246" t="s">
        <v>6</v>
      </c>
      <c r="E14" s="246"/>
      <c r="F14" s="246"/>
      <c r="G14" s="246"/>
      <c r="H14" s="246"/>
      <c r="I14" s="246"/>
      <c r="J14" s="194" t="s">
        <v>7</v>
      </c>
      <c r="K14" s="194"/>
      <c r="L14" s="194"/>
      <c r="M14" s="194"/>
      <c r="N14" s="194"/>
      <c r="O14" s="194"/>
      <c r="P14" s="194"/>
      <c r="Q14" s="194"/>
      <c r="R14" s="194"/>
      <c r="S14" s="227" t="s">
        <v>9</v>
      </c>
      <c r="T14" s="227"/>
    </row>
    <row r="15" spans="1:24" ht="64.5" thickBot="1">
      <c r="A15" s="226"/>
      <c r="B15" s="192"/>
      <c r="C15" s="192"/>
      <c r="D15" s="3" t="s">
        <v>10</v>
      </c>
      <c r="E15" s="3" t="s">
        <v>11</v>
      </c>
      <c r="F15" s="4" t="s">
        <v>12</v>
      </c>
      <c r="G15" s="92" t="s">
        <v>133</v>
      </c>
      <c r="H15" s="4" t="s">
        <v>14</v>
      </c>
      <c r="I15" s="3" t="s">
        <v>62</v>
      </c>
      <c r="J15" s="3" t="s">
        <v>10</v>
      </c>
      <c r="K15" s="3" t="s">
        <v>15</v>
      </c>
      <c r="L15" s="4" t="s">
        <v>12</v>
      </c>
      <c r="M15" s="92" t="s">
        <v>133</v>
      </c>
      <c r="N15" s="4" t="s">
        <v>14</v>
      </c>
      <c r="O15" s="3" t="s">
        <v>62</v>
      </c>
      <c r="P15" s="5" t="s">
        <v>19</v>
      </c>
      <c r="Q15" s="5" t="s">
        <v>20</v>
      </c>
      <c r="R15" s="5" t="s">
        <v>21</v>
      </c>
      <c r="S15" s="5" t="s">
        <v>22</v>
      </c>
      <c r="T15" s="5" t="s">
        <v>23</v>
      </c>
    </row>
    <row r="16" spans="1:24" ht="34.5" customHeight="1" thickBot="1">
      <c r="A16" s="307" t="s">
        <v>116</v>
      </c>
      <c r="B16" s="309" t="s">
        <v>117</v>
      </c>
      <c r="C16" s="95" t="s">
        <v>26</v>
      </c>
      <c r="D16" s="79">
        <f>D10</f>
        <v>4343861.7507314496</v>
      </c>
      <c r="E16" s="102">
        <f>((D16*95%*3.283%)-((D16*95%*3.283%)*40%)+28205)+((D16*95%*3.283%)-((D16*95%*3.283%)*40%)+28205)*18%+(D16*95%*0.1%+350)+(D16*95%*0.1%+350)*18%-IF((((D16*95%*3.283%)-((D16*95%*3.283%)*40%))*2.5%)&gt;500,500,(((D16*95%*3.283%)-((D16*95%*3.283%)*40%))*2.5%))-IF((((D16*95%*3.283%)-((D16*95%*3.283%)*40%))*2.5%)&gt;500,500,(((D16*95%*3.283%)-((D16*95%*3.283%)*40%))*2.5%))*18%</f>
        <v>133893.16982915293</v>
      </c>
      <c r="F16" s="79">
        <f>(D16*20/100)+(D16*20/100)*2/100+1500+200</f>
        <v>887847.79714921571</v>
      </c>
      <c r="G16" s="79">
        <v>600</v>
      </c>
      <c r="H16" s="80">
        <f>D16+E16+F16+G16</f>
        <v>5366202.7177098179</v>
      </c>
      <c r="I16" s="82">
        <f>D16*1/100</f>
        <v>43438.617507314499</v>
      </c>
      <c r="J16" s="79">
        <f>D16</f>
        <v>4343861.7507314496</v>
      </c>
      <c r="K16" s="102">
        <f>((J16*95%*3.283%)-((J16*95%*3.283%)*40%)+25955)+((J16*95%*3.283%)-((J16*95%*3.283%)*40%)+25955)*18%+(J16*95%*0.1%+350)+(J16*95%*0.1%+350)*18%-IF((((J16*95%*3.283%)-((J16*95%*3.283%)*40%))*2.5%)&gt;500,500,(((J16*95%*3.283%)-((J16*95%*3.283%)*40%))*2.5%))-IF((((J16*95%*3.283%)-((J16*95%*3.283%)*40%))*2.5%)&gt;500,500,(((J16*95%*3.283%)-((J16*95%*3.283%)*40%))*2.5%))*18%</f>
        <v>131238.16982915293</v>
      </c>
      <c r="L16" s="82">
        <f>(J16*20/100)+(J16*20/100)*2/100+1500+200</f>
        <v>887847.79714921571</v>
      </c>
      <c r="M16" s="82">
        <v>600</v>
      </c>
      <c r="N16" s="80">
        <f>J16+K16+L16+M16</f>
        <v>5363547.7177098179</v>
      </c>
      <c r="O16" s="82">
        <f>J16*1/100</f>
        <v>43438.617507314499</v>
      </c>
      <c r="P16" s="82">
        <v>31653</v>
      </c>
      <c r="Q16" s="82">
        <v>31653</v>
      </c>
      <c r="R16" s="82">
        <v>7999</v>
      </c>
      <c r="S16" s="80">
        <f>H16+P16+R16</f>
        <v>5405854.7177098179</v>
      </c>
      <c r="T16" s="83">
        <f>N16+Q16+R16</f>
        <v>5403199.7177098179</v>
      </c>
      <c r="U16" s="32">
        <f>D16*95/100</f>
        <v>4126668.6631948771</v>
      </c>
      <c r="V16" s="32">
        <f>U16*0.65/100</f>
        <v>26823.346310766701</v>
      </c>
      <c r="W16" s="32">
        <f>V16*18/100</f>
        <v>4828.2023359380064</v>
      </c>
      <c r="X16" s="32">
        <f>V16+W16</f>
        <v>31651.548646704709</v>
      </c>
    </row>
    <row r="17" spans="1:24" ht="34.5" customHeight="1" thickBot="1">
      <c r="A17" s="308"/>
      <c r="B17" s="310"/>
      <c r="C17" s="96" t="s">
        <v>27</v>
      </c>
      <c r="D17" s="86">
        <f>D11</f>
        <v>4356362</v>
      </c>
      <c r="E17" s="102">
        <f>((D17*95%*3.283%)-((D17*95%*3.283%)*40%)+28205)+((D17*95%*3.283%)-((D17*95%*3.283%)*40%)+28205)*18%+(D17*95%*0.1%+350)+(D17*95%*0.1%+350)*18%-IF((((D17*95%*3.283%)-((D17*95%*3.283%)*40%))*2.5%)&gt;500,500,(((D17*95%*3.283%)-((D17*95%*3.283%)*40%))*2.5%))-IF((((D17*95%*3.283%)-((D17*95%*3.283%)*40%))*2.5%)&gt;500,500,(((D17*95%*3.283%)-((D17*95%*3.283%)*40%))*2.5%))*18%</f>
        <v>134183.20633779597</v>
      </c>
      <c r="F17" s="86">
        <f>(D17*20/100)+(D17*20/100)*2/100+1500+200</f>
        <v>890397.848</v>
      </c>
      <c r="G17" s="86">
        <v>600</v>
      </c>
      <c r="H17" s="88">
        <f>D17+E17+F17+G17</f>
        <v>5381543.0543377958</v>
      </c>
      <c r="I17" s="89">
        <f>D17*1/100</f>
        <v>43563.62</v>
      </c>
      <c r="J17" s="86">
        <f>D17</f>
        <v>4356362</v>
      </c>
      <c r="K17" s="102">
        <f>((J17*95%*3.283%)-((J17*95%*3.283%)*40%)+25955)+((J17*95%*3.283%)-((J17*95%*3.283%)*40%)+25955)*18%+(J17*95%*0.1%+350)+(J17*95%*0.1%+350)*18%-IF((((J17*95%*3.283%)-((J17*95%*3.283%)*40%))*2.5%)&gt;500,500,(((J17*95%*3.283%)-((J17*95%*3.283%)*40%))*2.5%))-IF((((J17*95%*3.283%)-((J17*95%*3.283%)*40%))*2.5%)&gt;500,500,(((J17*95%*3.283%)-((J17*95%*3.283%)*40%))*2.5%))*18%</f>
        <v>131528.20633779597</v>
      </c>
      <c r="L17" s="89">
        <f>(J17*20/100)+(J17*20/100)*2/100+1500+200</f>
        <v>890397.848</v>
      </c>
      <c r="M17" s="89">
        <v>600</v>
      </c>
      <c r="N17" s="88">
        <f>J17+K17+L17+M17</f>
        <v>5378888.0543377958</v>
      </c>
      <c r="O17" s="89">
        <f>J17*1/100</f>
        <v>43563.62</v>
      </c>
      <c r="P17" s="89">
        <v>31744</v>
      </c>
      <c r="Q17" s="89">
        <v>31744</v>
      </c>
      <c r="R17" s="89">
        <v>7999</v>
      </c>
      <c r="S17" s="88">
        <f>H17+P17+R17</f>
        <v>5421286.0543377958</v>
      </c>
      <c r="T17" s="101">
        <f>N17+Q17+R17</f>
        <v>5418631.0543377958</v>
      </c>
      <c r="U17" s="32">
        <f>D17*95/100</f>
        <v>4138543.9</v>
      </c>
      <c r="V17" s="32">
        <f>U17*0.65/100</f>
        <v>26900.535350000002</v>
      </c>
      <c r="W17" s="32">
        <f>V17*18/100</f>
        <v>4842.0963630000006</v>
      </c>
      <c r="X17" s="32">
        <f>V17+W17</f>
        <v>31742.631713000002</v>
      </c>
    </row>
    <row r="18" spans="1:24" s="41" customFormat="1" ht="34.5" customHeight="1">
      <c r="A18" s="66"/>
      <c r="B18" s="64"/>
      <c r="C18" s="67"/>
      <c r="D18" s="65"/>
      <c r="E18" s="68"/>
      <c r="F18" s="65"/>
      <c r="G18" s="65"/>
      <c r="H18" s="65"/>
      <c r="I18" s="65"/>
      <c r="J18" s="65"/>
      <c r="K18" s="68"/>
      <c r="L18" s="65"/>
      <c r="M18" s="65"/>
      <c r="N18" s="65"/>
      <c r="O18" s="65"/>
      <c r="P18" s="65"/>
      <c r="Q18" s="65"/>
      <c r="R18" s="65"/>
      <c r="S18" s="65"/>
      <c r="T18" s="65"/>
      <c r="U18" s="40"/>
      <c r="V18" s="40"/>
      <c r="W18" s="40"/>
      <c r="X18" s="40"/>
    </row>
    <row r="19" spans="1:24" s="44" customFormat="1" ht="18.75">
      <c r="A19" s="63" t="s">
        <v>131</v>
      </c>
    </row>
    <row r="20" spans="1:24" s="44" customFormat="1" ht="18.75">
      <c r="A20" s="63"/>
    </row>
    <row r="21" spans="1:24" s="44" customFormat="1">
      <c r="A21" s="42" t="s">
        <v>98</v>
      </c>
      <c r="B21" s="43"/>
      <c r="C21" s="43"/>
      <c r="D21" s="43"/>
      <c r="E21" s="43"/>
      <c r="F21" s="43"/>
      <c r="G21" s="43"/>
      <c r="H21" s="43"/>
      <c r="I21" s="43"/>
      <c r="K21" s="45"/>
      <c r="L21" s="45"/>
      <c r="M21" s="45"/>
      <c r="N21" s="45"/>
      <c r="O21" s="45"/>
    </row>
    <row r="22" spans="1:24" s="44" customFormat="1">
      <c r="A22" s="46" t="s">
        <v>32</v>
      </c>
      <c r="B22" s="43"/>
      <c r="C22" s="43"/>
      <c r="D22" s="43"/>
      <c r="E22" s="43"/>
      <c r="F22" s="43"/>
      <c r="G22" s="43"/>
      <c r="H22" s="43"/>
      <c r="I22" s="43"/>
      <c r="K22" s="45"/>
      <c r="L22" s="45"/>
      <c r="M22" s="45"/>
      <c r="N22" s="45"/>
      <c r="O22" s="45"/>
    </row>
    <row r="23" spans="1:24" s="44" customFormat="1">
      <c r="A23" s="46" t="s">
        <v>99</v>
      </c>
      <c r="B23" s="43"/>
      <c r="C23" s="43"/>
      <c r="D23" s="43"/>
      <c r="E23" s="43"/>
      <c r="F23" s="43"/>
      <c r="G23" s="43"/>
      <c r="H23" s="43"/>
      <c r="I23" s="43"/>
      <c r="K23" s="45"/>
      <c r="L23" s="45"/>
      <c r="M23" s="45"/>
      <c r="N23" s="45"/>
      <c r="O23" s="45"/>
    </row>
    <row r="24" spans="1:24" s="44" customFormat="1">
      <c r="A24" s="47" t="s">
        <v>34</v>
      </c>
      <c r="B24" s="43"/>
      <c r="C24" s="43"/>
      <c r="D24" s="43"/>
      <c r="E24" s="43"/>
      <c r="F24" s="43"/>
      <c r="G24" s="43"/>
      <c r="H24" s="43"/>
      <c r="I24" s="43"/>
      <c r="K24" s="45"/>
      <c r="L24" s="45"/>
      <c r="M24" s="45"/>
      <c r="N24" s="45"/>
      <c r="O24" s="45"/>
    </row>
    <row r="25" spans="1:24" s="44" customFormat="1">
      <c r="A25" s="42"/>
      <c r="B25" s="43"/>
      <c r="C25" s="43"/>
      <c r="D25" s="43"/>
      <c r="E25" s="43"/>
      <c r="F25" s="43"/>
      <c r="G25" s="43"/>
      <c r="H25" s="43"/>
      <c r="I25" s="43"/>
      <c r="K25" s="45"/>
      <c r="L25" s="45"/>
      <c r="M25" s="45"/>
      <c r="N25" s="45"/>
      <c r="O25" s="45"/>
    </row>
    <row r="26" spans="1:24" s="44" customFormat="1">
      <c r="A26" s="42" t="s">
        <v>100</v>
      </c>
      <c r="B26" s="43"/>
      <c r="C26" s="43"/>
      <c r="D26" s="43"/>
      <c r="E26" s="43"/>
      <c r="F26" s="43"/>
      <c r="G26" s="43"/>
      <c r="H26" s="45"/>
      <c r="I26" s="45"/>
      <c r="K26" s="45"/>
      <c r="L26" s="45"/>
      <c r="M26" s="45"/>
      <c r="N26" s="45"/>
      <c r="O26" s="45"/>
    </row>
    <row r="27" spans="1:24" s="44" customFormat="1">
      <c r="A27" s="48" t="s">
        <v>36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51"/>
      <c r="T27" s="51"/>
      <c r="U27" s="51"/>
      <c r="V27" s="51"/>
    </row>
    <row r="28" spans="1:24" s="44" customFormat="1">
      <c r="A28" s="52" t="s">
        <v>92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1"/>
      <c r="U28" s="51"/>
      <c r="V28" s="51"/>
    </row>
    <row r="29" spans="1:24" s="44" customFormat="1">
      <c r="A29" s="52" t="s">
        <v>38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1"/>
      <c r="U29" s="51"/>
      <c r="V29" s="51"/>
    </row>
    <row r="30" spans="1:24" s="44" customFormat="1">
      <c r="A30" s="62" t="s">
        <v>127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1"/>
      <c r="U30" s="51"/>
      <c r="V30" s="51"/>
    </row>
    <row r="31" spans="1:24" s="44" customFormat="1" ht="12.75" customHeight="1">
      <c r="A31" s="62" t="s">
        <v>128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1"/>
      <c r="U31" s="51"/>
      <c r="V31" s="51"/>
    </row>
    <row r="32" spans="1:24" s="44" customFormat="1">
      <c r="A32" s="48" t="s">
        <v>39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1"/>
      <c r="U32" s="51"/>
      <c r="V32" s="51"/>
    </row>
    <row r="33" spans="1:22" s="44" customFormat="1" ht="12.75" customHeight="1">
      <c r="A33" s="48" t="s">
        <v>40</v>
      </c>
      <c r="B33" s="29"/>
      <c r="C33" s="29"/>
      <c r="D33" s="29"/>
      <c r="E33" s="29"/>
      <c r="F33" s="29"/>
      <c r="G33" s="69"/>
      <c r="H33" s="29"/>
      <c r="I33" s="29"/>
      <c r="J33" s="29"/>
      <c r="K33" s="29"/>
      <c r="L33" s="29"/>
      <c r="M33" s="6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44" customFormat="1" ht="12.75" customHeight="1">
      <c r="A34" s="181" t="s">
        <v>41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</row>
    <row r="35" spans="1:22" s="44" customFormat="1">
      <c r="A35" s="48" t="s">
        <v>118</v>
      </c>
    </row>
    <row r="36" spans="1:22" s="44" customFormat="1">
      <c r="A36" s="59"/>
    </row>
    <row r="37" spans="1:22" s="44" customFormat="1"/>
    <row r="38" spans="1:22" s="44" customFormat="1"/>
  </sheetData>
  <sheetProtection selectLockedCells="1" selectUnlockedCells="1"/>
  <mergeCells count="25">
    <mergeCell ref="A1:T1"/>
    <mergeCell ref="A2:T2"/>
    <mergeCell ref="A3:T3"/>
    <mergeCell ref="A4:T4"/>
    <mergeCell ref="A5:T5"/>
    <mergeCell ref="A6:T6"/>
    <mergeCell ref="P14:R14"/>
    <mergeCell ref="S14:T14"/>
    <mergeCell ref="A7:T7"/>
    <mergeCell ref="A8:A9"/>
    <mergeCell ref="B8:C9"/>
    <mergeCell ref="D8:I8"/>
    <mergeCell ref="J8:O8"/>
    <mergeCell ref="P8:R8"/>
    <mergeCell ref="S8:T8"/>
    <mergeCell ref="A16:A17"/>
    <mergeCell ref="B16:B17"/>
    <mergeCell ref="A34:V34"/>
    <mergeCell ref="B10:B11"/>
    <mergeCell ref="A10:A11"/>
    <mergeCell ref="A13:T13"/>
    <mergeCell ref="A14:A15"/>
    <mergeCell ref="B14:C15"/>
    <mergeCell ref="D14:I14"/>
    <mergeCell ref="J14:O14"/>
  </mergeCells>
  <pageMargins left="0.29097222222222224" right="0.2" top="0.47499999999999998" bottom="0.78749999999999998" header="0.51180555555555551" footer="0.51180555555555551"/>
  <pageSetup firstPageNumber="0" orientation="landscape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tabSelected="1" topLeftCell="C1" workbookViewId="0">
      <selection sqref="A1:U1"/>
    </sheetView>
  </sheetViews>
  <sheetFormatPr defaultColWidth="11.7109375" defaultRowHeight="15"/>
  <cols>
    <col min="1" max="1" width="6.42578125" style="31" customWidth="1"/>
    <col min="2" max="3" width="9.7109375" style="31" customWidth="1"/>
    <col min="4" max="4" width="10.5703125" style="31" bestFit="1" customWidth="1"/>
    <col min="5" max="5" width="11.85546875" style="31" customWidth="1"/>
    <col min="6" max="6" width="9.42578125" style="31" bestFit="1" customWidth="1"/>
    <col min="7" max="7" width="7" style="31" customWidth="1"/>
    <col min="8" max="8" width="9.85546875" style="31" customWidth="1"/>
    <col min="9" max="9" width="10.42578125" style="31" bestFit="1" customWidth="1"/>
    <col min="10" max="10" width="10.5703125" style="31" bestFit="1" customWidth="1"/>
    <col min="11" max="11" width="11.85546875" style="31" customWidth="1"/>
    <col min="12" max="12" width="9.42578125" style="31" bestFit="1" customWidth="1"/>
    <col min="13" max="13" width="5.5703125" style="31" bestFit="1" customWidth="1"/>
    <col min="14" max="14" width="9.85546875" style="31" customWidth="1"/>
    <col min="15" max="15" width="10.42578125" style="31" bestFit="1" customWidth="1"/>
    <col min="16" max="16" width="12.5703125" style="31" bestFit="1" customWidth="1"/>
    <col min="17" max="17" width="9.5703125" style="31" bestFit="1" customWidth="1"/>
    <col min="18" max="18" width="8.7109375" style="31" customWidth="1"/>
    <col min="19" max="19" width="7.85546875" style="31" hidden="1" customWidth="1"/>
    <col min="20" max="21" width="11.28515625" style="31" customWidth="1"/>
    <col min="22" max="22" width="11.7109375" style="31" hidden="1" customWidth="1"/>
    <col min="23" max="23" width="0.42578125" style="31" hidden="1" customWidth="1"/>
    <col min="24" max="29" width="11.7109375" style="31" hidden="1" customWidth="1"/>
    <col min="30" max="35" width="11.7109375" style="31" customWidth="1"/>
    <col min="36" max="16384" width="11.7109375" style="31"/>
  </cols>
  <sheetData>
    <row r="1" spans="1:29" ht="45">
      <c r="A1" s="318" t="s">
        <v>104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20"/>
    </row>
    <row r="2" spans="1:29" ht="27">
      <c r="A2" s="321" t="s">
        <v>155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3"/>
    </row>
    <row r="3" spans="1:29" ht="27">
      <c r="A3" s="321" t="s">
        <v>165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3"/>
    </row>
    <row r="4" spans="1:29" ht="27">
      <c r="A4" s="321" t="s">
        <v>106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3"/>
    </row>
    <row r="5" spans="1:29" ht="20.25" customHeight="1">
      <c r="A5" s="324" t="s">
        <v>142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6"/>
    </row>
    <row r="6" spans="1:29" ht="18.75" thickBot="1">
      <c r="A6" s="315" t="s">
        <v>190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7"/>
    </row>
    <row r="7" spans="1:29" ht="15.75" thickBot="1">
      <c r="A7" s="201" t="s">
        <v>103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9" ht="27.75" customHeight="1">
      <c r="A8" s="249" t="s">
        <v>4</v>
      </c>
      <c r="B8" s="251" t="s">
        <v>5</v>
      </c>
      <c r="C8" s="251"/>
      <c r="D8" s="253" t="s">
        <v>6</v>
      </c>
      <c r="E8" s="253"/>
      <c r="F8" s="253"/>
      <c r="G8" s="253"/>
      <c r="H8" s="253"/>
      <c r="I8" s="253"/>
      <c r="J8" s="253" t="s">
        <v>7</v>
      </c>
      <c r="K8" s="253"/>
      <c r="L8" s="253"/>
      <c r="M8" s="253"/>
      <c r="N8" s="253"/>
      <c r="O8" s="253"/>
      <c r="P8" s="254" t="s">
        <v>8</v>
      </c>
      <c r="Q8" s="254"/>
      <c r="R8" s="254"/>
      <c r="S8" s="254"/>
      <c r="T8" s="254" t="s">
        <v>9</v>
      </c>
      <c r="U8" s="255"/>
    </row>
    <row r="9" spans="1:29" ht="64.5" thickBot="1">
      <c r="A9" s="250"/>
      <c r="B9" s="252"/>
      <c r="C9" s="252"/>
      <c r="D9" s="113" t="s">
        <v>10</v>
      </c>
      <c r="E9" s="113" t="s">
        <v>11</v>
      </c>
      <c r="F9" s="92" t="s">
        <v>12</v>
      </c>
      <c r="G9" s="92" t="s">
        <v>133</v>
      </c>
      <c r="H9" s="92" t="s">
        <v>13</v>
      </c>
      <c r="I9" s="92" t="s">
        <v>14</v>
      </c>
      <c r="J9" s="113" t="s">
        <v>10</v>
      </c>
      <c r="K9" s="113" t="s">
        <v>15</v>
      </c>
      <c r="L9" s="92" t="s">
        <v>12</v>
      </c>
      <c r="M9" s="92" t="s">
        <v>133</v>
      </c>
      <c r="N9" s="92" t="s">
        <v>13</v>
      </c>
      <c r="O9" s="92" t="s">
        <v>14</v>
      </c>
      <c r="P9" s="92" t="s">
        <v>153</v>
      </c>
      <c r="Q9" s="113" t="s">
        <v>17</v>
      </c>
      <c r="R9" s="92" t="s">
        <v>180</v>
      </c>
      <c r="S9" s="92" t="s">
        <v>139</v>
      </c>
      <c r="T9" s="92" t="s">
        <v>22</v>
      </c>
      <c r="U9" s="98" t="s">
        <v>23</v>
      </c>
    </row>
    <row r="10" spans="1:29" ht="20.100000000000001" customHeight="1">
      <c r="A10" s="222" t="s">
        <v>143</v>
      </c>
      <c r="B10" s="184" t="s">
        <v>68</v>
      </c>
      <c r="C10" s="78" t="s">
        <v>26</v>
      </c>
      <c r="D10" s="79">
        <v>585899.81000000006</v>
      </c>
      <c r="E10" s="105">
        <f>((D10*95%*3.283%)-((D10*95%*3.283%)*40%)+13434)+((D10*95%*3.283%)-((D10*95%*3.283%)*40%)+13434)*18%+(D10*95%*0.1%+250)+(D10*95%*0.1%+250)*18%-IF((((D10*95%*3.283%)-((D10*95%*3.283%)*40%))*2.5%)&gt;500,500,(((D10*95%*3.283%)-((D10*95%*3.283%)*40%))*2.5%))-IF((((D10*95%*3.283%)-((D10*95%*3.283%)*40%))*2.5%)&gt;500,500,(((D10*95%*3.283%)-((D10*95%*3.283%)*40%))*2.5%))*18%</f>
        <v>29417.99768256491</v>
      </c>
      <c r="F10" s="79">
        <f t="shared" ref="F10:F21" si="0">(D10*11/100)+(D10*11/100)*2/100+1500</f>
        <v>67237.958682000011</v>
      </c>
      <c r="G10" s="79">
        <v>600</v>
      </c>
      <c r="H10" s="79">
        <v>3238</v>
      </c>
      <c r="I10" s="80">
        <f>D10+E10+F10+G10+H10</f>
        <v>686393.766364565</v>
      </c>
      <c r="J10" s="79">
        <f t="shared" ref="J10:J21" si="1">D10</f>
        <v>585899.81000000006</v>
      </c>
      <c r="K10" s="105">
        <f t="shared" ref="K10:K21" si="2">((J10*95%*3.283%)-((J10*95%*3.283%)*40%)+11184)+((J10*95%*3.283%)-((J10*95%*3.283%)*40%)+11184)*18%+(J10*95%*0.1%+250)+(J10*95%*0.1%+250)*18%-IF((((J10*95%*3.283%)-((J10*95%*3.283%)*40%))*2.5%)&gt;500,500,(((J10*95%*3.283%)-((J10*95%*3.283%)*40%))*2.5%))-IF((((J10*95%*3.283%)-((J10*95%*3.283%)*40%))*2.5%)&gt;500,500,(((J10*95%*3.283%)-((J10*95%*3.283%)*40%))*2.5%))*18%</f>
        <v>26762.99768256491</v>
      </c>
      <c r="L10" s="82">
        <f t="shared" ref="L10:L21" si="3">(J10*20/100)+(J10*20/100)*2/100+1500</f>
        <v>121023.56124000001</v>
      </c>
      <c r="M10" s="82">
        <f>G10</f>
        <v>600</v>
      </c>
      <c r="N10" s="79">
        <f>H10</f>
        <v>3238</v>
      </c>
      <c r="O10" s="80">
        <f>J10+K10+L10+M10+N10</f>
        <v>737524.3689225649</v>
      </c>
      <c r="P10" s="82">
        <v>9796</v>
      </c>
      <c r="Q10" s="82">
        <v>4834</v>
      </c>
      <c r="R10" s="82">
        <f t="shared" ref="R10:R21" si="4">Y10</f>
        <v>4269.1589655650005</v>
      </c>
      <c r="S10" s="82">
        <f>((D10*95%)*0.17%)*1.18</f>
        <v>1116.549267917</v>
      </c>
      <c r="T10" s="80">
        <f>I10+P10+Q10+R10</f>
        <v>705292.92533013003</v>
      </c>
      <c r="U10" s="83">
        <f>O10+P10+Q10+R10</f>
        <v>756423.52788812993</v>
      </c>
      <c r="V10" s="32">
        <f t="shared" ref="V10:V21" si="5">D10*95/100</f>
        <v>556604.81949999998</v>
      </c>
      <c r="W10" s="32">
        <f t="shared" ref="W10:W21" si="6">V10*0.65/100</f>
        <v>3617.9313267500002</v>
      </c>
      <c r="X10" s="32">
        <f t="shared" ref="X10:X21" si="7">W10*18/100</f>
        <v>651.22763881499998</v>
      </c>
      <c r="Y10" s="32">
        <f t="shared" ref="Y10:Y21" si="8">W10+X10</f>
        <v>4269.1589655650005</v>
      </c>
      <c r="Z10" s="31">
        <v>691108</v>
      </c>
      <c r="AA10" s="31">
        <v>743511</v>
      </c>
      <c r="AB10" s="32">
        <f>+Z10-T10</f>
        <v>-14184.925330130034</v>
      </c>
      <c r="AC10" s="32">
        <f>+AA10-U10</f>
        <v>-12912.527888129931</v>
      </c>
    </row>
    <row r="11" spans="1:29" ht="20.100000000000001" customHeight="1">
      <c r="A11" s="223"/>
      <c r="B11" s="185"/>
      <c r="C11" s="71" t="s">
        <v>27</v>
      </c>
      <c r="D11" s="72">
        <v>589899.79</v>
      </c>
      <c r="E11" s="106">
        <f t="shared" ref="E11:E21" si="9">((D11*95%*3.283%)-((D11*95%*3.283%)*40%)+13434)+((D11*95%*3.283%)-((D11*95%*3.283%)*40%)+13434)*18%+(D11*95%*0.1%+250)+(D11*95%*0.1%+250)*18%-IF((((D11*95%*3.283%)-((D11*95%*3.283%)*40%))*2.5%)&gt;500,500,(((D11*95%*3.283%)-((D11*95%*3.283%)*40%))*2.5%))-IF((((D11*95%*3.283%)-((D11*95%*3.283%)*40%))*2.5%)&gt;500,500,(((D11*95%*3.283%)-((D11*95%*3.283%)*40%))*2.5%))*18%</f>
        <v>29508.598915756473</v>
      </c>
      <c r="F11" s="72">
        <f t="shared" si="0"/>
        <v>67686.756437999997</v>
      </c>
      <c r="G11" s="72">
        <v>600</v>
      </c>
      <c r="H11" s="72">
        <v>3238</v>
      </c>
      <c r="I11" s="73">
        <f>D11+E11+F11+G11+H11</f>
        <v>690933.1453537565</v>
      </c>
      <c r="J11" s="72">
        <f t="shared" si="1"/>
        <v>589899.79</v>
      </c>
      <c r="K11" s="106">
        <f t="shared" si="2"/>
        <v>26853.598915756473</v>
      </c>
      <c r="L11" s="75">
        <f t="shared" si="3"/>
        <v>121839.55716000001</v>
      </c>
      <c r="M11" s="75">
        <f>G11</f>
        <v>600</v>
      </c>
      <c r="N11" s="72">
        <f>H11</f>
        <v>3238</v>
      </c>
      <c r="O11" s="73">
        <f>J11+K11+L11+M11+N11</f>
        <v>742430.94607575645</v>
      </c>
      <c r="P11" s="75">
        <v>9796</v>
      </c>
      <c r="Q11" s="75">
        <v>4834</v>
      </c>
      <c r="R11" s="75">
        <f t="shared" si="4"/>
        <v>4298.3048198350007</v>
      </c>
      <c r="S11" s="75">
        <f t="shared" ref="S11:S21" si="10">((D11*95%)*0.17%)*1.18</f>
        <v>1124.1720298030002</v>
      </c>
      <c r="T11" s="73">
        <f>I11+P11+Q11+R11</f>
        <v>709861.4501735915</v>
      </c>
      <c r="U11" s="84">
        <f>O11+P11+Q11+R11</f>
        <v>761359.25089559145</v>
      </c>
      <c r="V11" s="32">
        <f t="shared" si="5"/>
        <v>560404.80050000001</v>
      </c>
      <c r="W11" s="32">
        <f t="shared" si="6"/>
        <v>3642.6312032500005</v>
      </c>
      <c r="X11" s="32">
        <f t="shared" si="7"/>
        <v>655.6736165850001</v>
      </c>
      <c r="Y11" s="32">
        <f t="shared" si="8"/>
        <v>4298.3048198350007</v>
      </c>
      <c r="Z11" s="31">
        <v>695686</v>
      </c>
      <c r="AA11" s="31">
        <v>748455</v>
      </c>
      <c r="AB11" s="32">
        <f t="shared" ref="AB11:AC21" si="11">+Z11-T11</f>
        <v>-14175.450173591496</v>
      </c>
      <c r="AC11" s="32">
        <f t="shared" si="11"/>
        <v>-12904.250895591453</v>
      </c>
    </row>
    <row r="12" spans="1:29" ht="20.85" customHeight="1">
      <c r="A12" s="223"/>
      <c r="B12" s="185" t="s">
        <v>70</v>
      </c>
      <c r="C12" s="71" t="s">
        <v>26</v>
      </c>
      <c r="D12" s="72">
        <v>665899.76</v>
      </c>
      <c r="E12" s="106">
        <f t="shared" si="9"/>
        <v>31230.03027404382</v>
      </c>
      <c r="F12" s="72">
        <f t="shared" si="0"/>
        <v>76213.953072000004</v>
      </c>
      <c r="G12" s="72">
        <v>600</v>
      </c>
      <c r="H12" s="72">
        <v>3238</v>
      </c>
      <c r="I12" s="73">
        <f t="shared" ref="I12:I20" si="12">D12+E12+F12+G12+H12</f>
        <v>777181.74334604386</v>
      </c>
      <c r="J12" s="72">
        <f t="shared" si="1"/>
        <v>665899.76</v>
      </c>
      <c r="K12" s="106">
        <f t="shared" si="2"/>
        <v>28575.03027404382</v>
      </c>
      <c r="L12" s="75">
        <f t="shared" si="3"/>
        <v>137343.55103999999</v>
      </c>
      <c r="M12" s="75">
        <f t="shared" ref="M12:M20" si="13">G12</f>
        <v>600</v>
      </c>
      <c r="N12" s="72">
        <f t="shared" ref="N12:N20" si="14">H12</f>
        <v>3238</v>
      </c>
      <c r="O12" s="73">
        <f t="shared" ref="O12:O20" si="15">J12+K12+L12+M12+N12</f>
        <v>835656.34131404385</v>
      </c>
      <c r="P12" s="75">
        <v>9796</v>
      </c>
      <c r="Q12" s="75">
        <v>4834</v>
      </c>
      <c r="R12" s="75">
        <f t="shared" si="4"/>
        <v>4852.0786012400004</v>
      </c>
      <c r="S12" s="75">
        <f t="shared" si="10"/>
        <v>1269.005172632</v>
      </c>
      <c r="T12" s="73">
        <f t="shared" ref="T12:T20" si="16">I12+P12+Q12+R12</f>
        <v>796663.82194728381</v>
      </c>
      <c r="U12" s="84">
        <f t="shared" ref="U12:U20" si="17">O12+P12+Q12+R12</f>
        <v>855138.4199152838</v>
      </c>
      <c r="V12" s="91">
        <f t="shared" si="5"/>
        <v>632604.772</v>
      </c>
      <c r="W12" s="37">
        <f t="shared" si="6"/>
        <v>4111.9310180000002</v>
      </c>
      <c r="X12" s="32">
        <f t="shared" si="7"/>
        <v>740.14758324000013</v>
      </c>
      <c r="Y12" s="38">
        <f t="shared" si="8"/>
        <v>4852.0786012400004</v>
      </c>
      <c r="Z12" s="100">
        <v>704628</v>
      </c>
      <c r="AA12" s="100">
        <v>758115</v>
      </c>
      <c r="AB12" s="32">
        <f t="shared" si="11"/>
        <v>-92035.82194728381</v>
      </c>
      <c r="AC12" s="32">
        <f t="shared" si="11"/>
        <v>-97023.419915283797</v>
      </c>
    </row>
    <row r="13" spans="1:29" ht="20.85" customHeight="1">
      <c r="A13" s="223"/>
      <c r="B13" s="185"/>
      <c r="C13" s="71" t="s">
        <v>27</v>
      </c>
      <c r="D13" s="72">
        <v>669899.78</v>
      </c>
      <c r="E13" s="106">
        <f t="shared" si="9"/>
        <v>31320.632413252253</v>
      </c>
      <c r="F13" s="72">
        <f t="shared" si="0"/>
        <v>76662.755315999995</v>
      </c>
      <c r="G13" s="72">
        <v>600</v>
      </c>
      <c r="H13" s="72">
        <v>3238</v>
      </c>
      <c r="I13" s="73">
        <f t="shared" si="12"/>
        <v>781721.16772925225</v>
      </c>
      <c r="J13" s="72">
        <f t="shared" si="1"/>
        <v>669899.78</v>
      </c>
      <c r="K13" s="106">
        <f t="shared" si="2"/>
        <v>28665.632413252253</v>
      </c>
      <c r="L13" s="75">
        <f t="shared" si="3"/>
        <v>138159.55512</v>
      </c>
      <c r="M13" s="75">
        <f t="shared" si="13"/>
        <v>600</v>
      </c>
      <c r="N13" s="72">
        <f t="shared" si="14"/>
        <v>3238</v>
      </c>
      <c r="O13" s="73">
        <f t="shared" si="15"/>
        <v>840562.96753325232</v>
      </c>
      <c r="P13" s="75">
        <v>9796</v>
      </c>
      <c r="Q13" s="75">
        <v>4834</v>
      </c>
      <c r="R13" s="75">
        <f t="shared" si="4"/>
        <v>4881.2247469699996</v>
      </c>
      <c r="S13" s="75">
        <f t="shared" si="10"/>
        <v>1276.628010746</v>
      </c>
      <c r="T13" s="73">
        <f t="shared" si="16"/>
        <v>801232.39247622225</v>
      </c>
      <c r="U13" s="84">
        <f t="shared" si="17"/>
        <v>860074.19228022231</v>
      </c>
      <c r="V13" s="32">
        <f t="shared" si="5"/>
        <v>636404.79099999997</v>
      </c>
      <c r="W13" s="32">
        <f t="shared" si="6"/>
        <v>4136.6311415</v>
      </c>
      <c r="X13" s="32">
        <f t="shared" si="7"/>
        <v>744.59360547000006</v>
      </c>
      <c r="Y13" s="32">
        <f t="shared" si="8"/>
        <v>4881.2247469699996</v>
      </c>
      <c r="Z13" s="100">
        <v>709204</v>
      </c>
      <c r="AA13" s="100">
        <v>763058</v>
      </c>
      <c r="AB13" s="32">
        <f t="shared" si="11"/>
        <v>-92028.392476222245</v>
      </c>
      <c r="AC13" s="32">
        <f t="shared" si="11"/>
        <v>-97016.192280222313</v>
      </c>
    </row>
    <row r="14" spans="1:29" ht="21.6" customHeight="1">
      <c r="A14" s="223"/>
      <c r="B14" s="185" t="s">
        <v>145</v>
      </c>
      <c r="C14" s="71" t="s">
        <v>26</v>
      </c>
      <c r="D14" s="72">
        <v>725899.77</v>
      </c>
      <c r="E14" s="106">
        <f t="shared" si="9"/>
        <v>32589.055793548039</v>
      </c>
      <c r="F14" s="72">
        <f t="shared" si="0"/>
        <v>82945.954194000005</v>
      </c>
      <c r="G14" s="72">
        <v>600</v>
      </c>
      <c r="H14" s="72">
        <v>3238</v>
      </c>
      <c r="I14" s="73">
        <f t="shared" si="12"/>
        <v>845272.77998754801</v>
      </c>
      <c r="J14" s="72">
        <f t="shared" si="1"/>
        <v>725899.77</v>
      </c>
      <c r="K14" s="106">
        <f t="shared" si="2"/>
        <v>29934.055793548039</v>
      </c>
      <c r="L14" s="75">
        <f t="shared" si="3"/>
        <v>149583.55307999998</v>
      </c>
      <c r="M14" s="75">
        <f t="shared" si="13"/>
        <v>600</v>
      </c>
      <c r="N14" s="72">
        <f t="shared" si="14"/>
        <v>3238</v>
      </c>
      <c r="O14" s="73">
        <f t="shared" si="15"/>
        <v>909255.378873548</v>
      </c>
      <c r="P14" s="75">
        <v>11343</v>
      </c>
      <c r="Q14" s="75">
        <v>4834</v>
      </c>
      <c r="R14" s="75">
        <f t="shared" si="4"/>
        <v>5289.2686741050002</v>
      </c>
      <c r="S14" s="75">
        <f t="shared" si="10"/>
        <v>1383.3471916890001</v>
      </c>
      <c r="T14" s="73">
        <f t="shared" si="16"/>
        <v>866739.04866165307</v>
      </c>
      <c r="U14" s="84">
        <f t="shared" si="17"/>
        <v>930721.64754765306</v>
      </c>
      <c r="V14" s="32">
        <f t="shared" si="5"/>
        <v>689604.78150000004</v>
      </c>
      <c r="W14" s="32">
        <f t="shared" si="6"/>
        <v>4482.4310797500002</v>
      </c>
      <c r="X14" s="32">
        <f t="shared" si="7"/>
        <v>806.83759435500008</v>
      </c>
      <c r="Y14" s="32">
        <f t="shared" si="8"/>
        <v>5289.2686741050002</v>
      </c>
      <c r="Z14" s="100">
        <v>786859</v>
      </c>
      <c r="AA14" s="100">
        <v>846944</v>
      </c>
      <c r="AB14" s="32">
        <f t="shared" si="11"/>
        <v>-79880.048661653069</v>
      </c>
      <c r="AC14" s="32">
        <f t="shared" si="11"/>
        <v>-83777.647547653061</v>
      </c>
    </row>
    <row r="15" spans="1:29" ht="21.6" customHeight="1">
      <c r="A15" s="223"/>
      <c r="B15" s="185"/>
      <c r="C15" s="71" t="s">
        <v>27</v>
      </c>
      <c r="D15" s="72">
        <v>729899.75</v>
      </c>
      <c r="E15" s="106">
        <f t="shared" si="9"/>
        <v>32679.657026739609</v>
      </c>
      <c r="F15" s="72">
        <f t="shared" si="0"/>
        <v>83394.751950000005</v>
      </c>
      <c r="G15" s="72">
        <v>600</v>
      </c>
      <c r="H15" s="72">
        <v>3238</v>
      </c>
      <c r="I15" s="73">
        <f t="shared" si="12"/>
        <v>849812.15897673951</v>
      </c>
      <c r="J15" s="72">
        <f t="shared" si="1"/>
        <v>729899.75</v>
      </c>
      <c r="K15" s="106">
        <f t="shared" si="2"/>
        <v>30024.657026739609</v>
      </c>
      <c r="L15" s="75">
        <f t="shared" si="3"/>
        <v>150399.549</v>
      </c>
      <c r="M15" s="75">
        <f t="shared" si="13"/>
        <v>600</v>
      </c>
      <c r="N15" s="72">
        <f t="shared" si="14"/>
        <v>3238</v>
      </c>
      <c r="O15" s="73">
        <f t="shared" si="15"/>
        <v>914161.95602673956</v>
      </c>
      <c r="P15" s="75">
        <v>11343</v>
      </c>
      <c r="Q15" s="75">
        <v>4834</v>
      </c>
      <c r="R15" s="75">
        <f t="shared" si="4"/>
        <v>5318.4145283749986</v>
      </c>
      <c r="S15" s="75">
        <f t="shared" si="10"/>
        <v>1390.9699535750001</v>
      </c>
      <c r="T15" s="73">
        <f t="shared" si="16"/>
        <v>871307.57350511453</v>
      </c>
      <c r="U15" s="84">
        <f t="shared" si="17"/>
        <v>935657.37055511458</v>
      </c>
      <c r="V15" s="32">
        <f t="shared" si="5"/>
        <v>693404.76249999995</v>
      </c>
      <c r="W15" s="32">
        <f t="shared" si="6"/>
        <v>4507.1309562499991</v>
      </c>
      <c r="X15" s="32">
        <f t="shared" si="7"/>
        <v>811.28357212499975</v>
      </c>
      <c r="Y15" s="32">
        <f t="shared" si="8"/>
        <v>5318.4145283749986</v>
      </c>
      <c r="Z15" s="100">
        <v>791435</v>
      </c>
      <c r="AA15" s="100">
        <v>851887</v>
      </c>
      <c r="AB15" s="32">
        <f t="shared" si="11"/>
        <v>-79872.573505114531</v>
      </c>
      <c r="AC15" s="32">
        <f t="shared" si="11"/>
        <v>-83770.370555114583</v>
      </c>
    </row>
    <row r="16" spans="1:29" ht="21.6" customHeight="1">
      <c r="A16" s="223"/>
      <c r="B16" s="185" t="s">
        <v>73</v>
      </c>
      <c r="C16" s="71" t="s">
        <v>26</v>
      </c>
      <c r="D16" s="72">
        <v>773899.74</v>
      </c>
      <c r="E16" s="106">
        <f t="shared" si="9"/>
        <v>33676.275348435396</v>
      </c>
      <c r="F16" s="72">
        <f t="shared" si="0"/>
        <v>88331.550828000007</v>
      </c>
      <c r="G16" s="72">
        <v>600</v>
      </c>
      <c r="H16" s="72">
        <v>3238</v>
      </c>
      <c r="I16" s="73">
        <f t="shared" si="12"/>
        <v>899745.56617643544</v>
      </c>
      <c r="J16" s="72">
        <f t="shared" si="1"/>
        <v>773899.74</v>
      </c>
      <c r="K16" s="106">
        <f t="shared" si="2"/>
        <v>31021.275348435393</v>
      </c>
      <c r="L16" s="75">
        <f t="shared" si="3"/>
        <v>159375.54696000001</v>
      </c>
      <c r="M16" s="75">
        <f t="shared" si="13"/>
        <v>600</v>
      </c>
      <c r="N16" s="72">
        <f t="shared" si="14"/>
        <v>3238</v>
      </c>
      <c r="O16" s="73">
        <f t="shared" si="15"/>
        <v>968134.56230843533</v>
      </c>
      <c r="P16" s="75">
        <v>11343</v>
      </c>
      <c r="Q16" s="75">
        <v>4834</v>
      </c>
      <c r="R16" s="75">
        <f t="shared" si="4"/>
        <v>5639.0204555099999</v>
      </c>
      <c r="S16" s="75">
        <f t="shared" si="10"/>
        <v>1474.8207345179997</v>
      </c>
      <c r="T16" s="73">
        <f t="shared" si="16"/>
        <v>921561.58663194545</v>
      </c>
      <c r="U16" s="84">
        <f t="shared" si="17"/>
        <v>989950.58276394533</v>
      </c>
      <c r="V16" s="32">
        <f t="shared" si="5"/>
        <v>735204.75300000003</v>
      </c>
      <c r="W16" s="32">
        <f t="shared" si="6"/>
        <v>4778.8308944999999</v>
      </c>
      <c r="X16" s="32">
        <f t="shared" si="7"/>
        <v>860.18956101000003</v>
      </c>
      <c r="Y16" s="32">
        <f t="shared" si="8"/>
        <v>5639.0204555099999</v>
      </c>
      <c r="Z16" s="100">
        <v>802410</v>
      </c>
      <c r="AA16" s="100">
        <v>863743</v>
      </c>
      <c r="AB16" s="32">
        <f t="shared" si="11"/>
        <v>-119151.58663194545</v>
      </c>
      <c r="AC16" s="32">
        <f t="shared" si="11"/>
        <v>-126207.58276394533</v>
      </c>
    </row>
    <row r="17" spans="1:29" ht="21.6" customHeight="1">
      <c r="A17" s="223"/>
      <c r="B17" s="185"/>
      <c r="C17" s="71" t="s">
        <v>27</v>
      </c>
      <c r="D17" s="72">
        <v>777899.73</v>
      </c>
      <c r="E17" s="106">
        <f t="shared" si="9"/>
        <v>33766.876808131179</v>
      </c>
      <c r="F17" s="72">
        <f t="shared" si="0"/>
        <v>88780.349705999979</v>
      </c>
      <c r="G17" s="72">
        <v>600</v>
      </c>
      <c r="H17" s="72">
        <v>3238</v>
      </c>
      <c r="I17" s="73">
        <f t="shared" si="12"/>
        <v>904284.95651413116</v>
      </c>
      <c r="J17" s="72">
        <f t="shared" si="1"/>
        <v>777899.73</v>
      </c>
      <c r="K17" s="106">
        <f t="shared" si="2"/>
        <v>31111.876808131179</v>
      </c>
      <c r="L17" s="75">
        <f t="shared" si="3"/>
        <v>160191.54491999999</v>
      </c>
      <c r="M17" s="75">
        <f t="shared" si="13"/>
        <v>600</v>
      </c>
      <c r="N17" s="72">
        <f t="shared" si="14"/>
        <v>3238</v>
      </c>
      <c r="O17" s="73">
        <f t="shared" si="15"/>
        <v>973041.15172813123</v>
      </c>
      <c r="P17" s="75">
        <v>11343</v>
      </c>
      <c r="Q17" s="75">
        <v>4834</v>
      </c>
      <c r="R17" s="75">
        <f t="shared" si="4"/>
        <v>5668.1663826449994</v>
      </c>
      <c r="S17" s="75">
        <f t="shared" si="10"/>
        <v>1482.4435154610001</v>
      </c>
      <c r="T17" s="73">
        <f t="shared" si="16"/>
        <v>926130.12289677619</v>
      </c>
      <c r="U17" s="84">
        <f t="shared" si="17"/>
        <v>994886.31811077625</v>
      </c>
      <c r="V17" s="32">
        <f t="shared" si="5"/>
        <v>739004.74349999998</v>
      </c>
      <c r="W17" s="32">
        <f t="shared" si="6"/>
        <v>4803.5308327499997</v>
      </c>
      <c r="X17" s="32">
        <f t="shared" si="7"/>
        <v>864.63554989500005</v>
      </c>
      <c r="Y17" s="32">
        <f t="shared" si="8"/>
        <v>5668.1663826449994</v>
      </c>
      <c r="Z17" s="100">
        <v>806987</v>
      </c>
      <c r="AA17" s="100">
        <v>868688</v>
      </c>
      <c r="AB17" s="32">
        <f t="shared" si="11"/>
        <v>-119143.12289677619</v>
      </c>
      <c r="AC17" s="32">
        <f t="shared" si="11"/>
        <v>-126198.31811077625</v>
      </c>
    </row>
    <row r="18" spans="1:29" ht="21.6" customHeight="1">
      <c r="A18" s="223"/>
      <c r="B18" s="247" t="s">
        <v>74</v>
      </c>
      <c r="C18" s="71" t="s">
        <v>26</v>
      </c>
      <c r="D18" s="72">
        <v>755899.73</v>
      </c>
      <c r="E18" s="106">
        <f t="shared" si="9"/>
        <v>33268.567534031179</v>
      </c>
      <c r="F18" s="72">
        <f t="shared" si="0"/>
        <v>86311.949705999985</v>
      </c>
      <c r="G18" s="72">
        <v>600</v>
      </c>
      <c r="H18" s="72">
        <v>3238</v>
      </c>
      <c r="I18" s="73">
        <f t="shared" si="12"/>
        <v>879318.24724003114</v>
      </c>
      <c r="J18" s="72">
        <f t="shared" si="1"/>
        <v>755899.73</v>
      </c>
      <c r="K18" s="106">
        <f t="shared" si="2"/>
        <v>30613.567534031179</v>
      </c>
      <c r="L18" s="75">
        <f t="shared" si="3"/>
        <v>155703.54491999999</v>
      </c>
      <c r="M18" s="75">
        <f t="shared" si="13"/>
        <v>600</v>
      </c>
      <c r="N18" s="72">
        <f t="shared" si="14"/>
        <v>3238</v>
      </c>
      <c r="O18" s="73">
        <f t="shared" si="15"/>
        <v>946054.84245403123</v>
      </c>
      <c r="P18" s="75">
        <v>11343</v>
      </c>
      <c r="Q18" s="75">
        <v>4834</v>
      </c>
      <c r="R18" s="75">
        <f>Y18</f>
        <v>5507.8633826450005</v>
      </c>
      <c r="S18" s="75">
        <f t="shared" si="10"/>
        <v>1440.5181154610002</v>
      </c>
      <c r="T18" s="73">
        <f t="shared" si="16"/>
        <v>901003.11062267609</v>
      </c>
      <c r="U18" s="84">
        <f t="shared" si="17"/>
        <v>967739.70583667618</v>
      </c>
      <c r="V18" s="32">
        <f t="shared" si="5"/>
        <v>718104.74349999998</v>
      </c>
      <c r="W18" s="32">
        <f t="shared" si="6"/>
        <v>4667.6808327500003</v>
      </c>
      <c r="X18" s="32">
        <f>W18*18/100</f>
        <v>840.18254989500008</v>
      </c>
      <c r="Y18" s="32">
        <f>W18+X18</f>
        <v>5507.8633826450005</v>
      </c>
      <c r="Z18" s="100">
        <v>813852</v>
      </c>
      <c r="AA18" s="100">
        <v>876103</v>
      </c>
      <c r="AB18" s="32">
        <f t="shared" si="11"/>
        <v>-87151.110622676089</v>
      </c>
      <c r="AC18" s="32">
        <f t="shared" si="11"/>
        <v>-91636.705836676178</v>
      </c>
    </row>
    <row r="19" spans="1:29" ht="21.6" customHeight="1">
      <c r="A19" s="223"/>
      <c r="B19" s="247"/>
      <c r="C19" s="71" t="s">
        <v>27</v>
      </c>
      <c r="D19" s="72">
        <v>759899.75</v>
      </c>
      <c r="E19" s="106">
        <f t="shared" si="9"/>
        <v>33359.169673239601</v>
      </c>
      <c r="F19" s="72">
        <f t="shared" si="0"/>
        <v>86760.751950000005</v>
      </c>
      <c r="G19" s="72">
        <v>600</v>
      </c>
      <c r="H19" s="72">
        <v>3238</v>
      </c>
      <c r="I19" s="73">
        <f t="shared" si="12"/>
        <v>883857.67162323953</v>
      </c>
      <c r="J19" s="72">
        <f t="shared" si="1"/>
        <v>759899.75</v>
      </c>
      <c r="K19" s="106">
        <f t="shared" si="2"/>
        <v>30704.169673239609</v>
      </c>
      <c r="L19" s="75">
        <f t="shared" si="3"/>
        <v>156519.549</v>
      </c>
      <c r="M19" s="75">
        <f t="shared" si="13"/>
        <v>600</v>
      </c>
      <c r="N19" s="72">
        <f t="shared" si="14"/>
        <v>3238</v>
      </c>
      <c r="O19" s="73">
        <f t="shared" si="15"/>
        <v>950961.46867323958</v>
      </c>
      <c r="P19" s="75">
        <v>11343</v>
      </c>
      <c r="Q19" s="75">
        <v>4834</v>
      </c>
      <c r="R19" s="75">
        <f>Y19</f>
        <v>5537.0095283749988</v>
      </c>
      <c r="S19" s="75">
        <f t="shared" si="10"/>
        <v>1448.1409535749999</v>
      </c>
      <c r="T19" s="73">
        <f t="shared" si="16"/>
        <v>905571.68115161452</v>
      </c>
      <c r="U19" s="84">
        <f t="shared" si="17"/>
        <v>972675.47820161458</v>
      </c>
      <c r="V19" s="32">
        <f>D19*95/100</f>
        <v>721904.76249999995</v>
      </c>
      <c r="W19" s="32">
        <f>V19*0.65/100</f>
        <v>4692.3809562499991</v>
      </c>
      <c r="X19" s="32">
        <f>W19*18/100</f>
        <v>844.62857212499978</v>
      </c>
      <c r="Y19" s="32">
        <f>W19+X19</f>
        <v>5537.0095283749988</v>
      </c>
      <c r="Z19" s="100">
        <v>818427</v>
      </c>
      <c r="AA19" s="100">
        <v>881046</v>
      </c>
      <c r="AB19" s="32">
        <f t="shared" si="11"/>
        <v>-87144.681151614524</v>
      </c>
      <c r="AC19" s="32">
        <f t="shared" si="11"/>
        <v>-91629.478201614576</v>
      </c>
    </row>
    <row r="20" spans="1:29" ht="21.6" customHeight="1">
      <c r="A20" s="223"/>
      <c r="B20" s="185" t="s">
        <v>146</v>
      </c>
      <c r="C20" s="71" t="s">
        <v>26</v>
      </c>
      <c r="D20" s="72">
        <v>815899.71</v>
      </c>
      <c r="E20" s="106">
        <f t="shared" si="9"/>
        <v>34627.592374022752</v>
      </c>
      <c r="F20" s="72">
        <f t="shared" si="0"/>
        <v>93043.947461999982</v>
      </c>
      <c r="G20" s="72">
        <v>600</v>
      </c>
      <c r="H20" s="72">
        <v>3238</v>
      </c>
      <c r="I20" s="73">
        <f t="shared" si="12"/>
        <v>947409.24983602262</v>
      </c>
      <c r="J20" s="72">
        <f t="shared" si="1"/>
        <v>815899.71</v>
      </c>
      <c r="K20" s="106">
        <f t="shared" si="2"/>
        <v>31972.592374022748</v>
      </c>
      <c r="L20" s="75">
        <f t="shared" si="3"/>
        <v>167943.54083999997</v>
      </c>
      <c r="M20" s="75">
        <f t="shared" si="13"/>
        <v>600</v>
      </c>
      <c r="N20" s="72">
        <f t="shared" si="14"/>
        <v>3238</v>
      </c>
      <c r="O20" s="73">
        <f t="shared" si="15"/>
        <v>1019653.8432140227</v>
      </c>
      <c r="P20" s="75">
        <v>11343</v>
      </c>
      <c r="Q20" s="75">
        <v>4834</v>
      </c>
      <c r="R20" s="75">
        <f t="shared" si="4"/>
        <v>5945.0532369150005</v>
      </c>
      <c r="S20" s="75">
        <f t="shared" si="10"/>
        <v>1554.8600773469998</v>
      </c>
      <c r="T20" s="73">
        <f t="shared" si="16"/>
        <v>969531.30307293765</v>
      </c>
      <c r="U20" s="84">
        <f t="shared" si="17"/>
        <v>1041775.8964509377</v>
      </c>
      <c r="V20" s="32">
        <f t="shared" si="5"/>
        <v>775104.72450000001</v>
      </c>
      <c r="W20" s="32">
        <f t="shared" si="6"/>
        <v>5038.1807092500003</v>
      </c>
      <c r="X20" s="32">
        <f t="shared" si="7"/>
        <v>906.87252766500012</v>
      </c>
      <c r="Y20" s="32">
        <f t="shared" si="8"/>
        <v>5945.0532369150005</v>
      </c>
      <c r="Z20" s="31">
        <v>1020402</v>
      </c>
      <c r="AA20" s="31">
        <v>1099227</v>
      </c>
      <c r="AB20" s="32">
        <f t="shared" si="11"/>
        <v>50870.696927062352</v>
      </c>
      <c r="AC20" s="32">
        <f t="shared" si="11"/>
        <v>57451.103549062274</v>
      </c>
    </row>
    <row r="21" spans="1:29" ht="21.6" customHeight="1" thickBot="1">
      <c r="A21" s="224"/>
      <c r="B21" s="186"/>
      <c r="C21" s="85" t="s">
        <v>27</v>
      </c>
      <c r="D21" s="86">
        <v>819899.72</v>
      </c>
      <c r="E21" s="107">
        <f t="shared" si="9"/>
        <v>34718.194286726968</v>
      </c>
      <c r="F21" s="86">
        <f t="shared" si="0"/>
        <v>93492.748583999986</v>
      </c>
      <c r="G21" s="86">
        <v>600</v>
      </c>
      <c r="H21" s="86">
        <v>3238</v>
      </c>
      <c r="I21" s="88">
        <f>D21+E21+F21+G21+H21</f>
        <v>951948.66287072701</v>
      </c>
      <c r="J21" s="86">
        <f t="shared" si="1"/>
        <v>819899.72</v>
      </c>
      <c r="K21" s="107">
        <f t="shared" si="2"/>
        <v>32063.194286726964</v>
      </c>
      <c r="L21" s="89">
        <f t="shared" si="3"/>
        <v>168759.54287999999</v>
      </c>
      <c r="M21" s="89">
        <f>G21</f>
        <v>600</v>
      </c>
      <c r="N21" s="86">
        <f>H21</f>
        <v>3238</v>
      </c>
      <c r="O21" s="88">
        <f>J21+K21+L21+M21+N21</f>
        <v>1024560.4571667269</v>
      </c>
      <c r="P21" s="89">
        <v>11343</v>
      </c>
      <c r="Q21" s="89">
        <v>4834</v>
      </c>
      <c r="R21" s="89">
        <f t="shared" si="4"/>
        <v>5974.1993097800005</v>
      </c>
      <c r="S21" s="89">
        <f t="shared" si="10"/>
        <v>1562.482896404</v>
      </c>
      <c r="T21" s="88">
        <f t="shared" ref="T21" si="18">I21+P21+Q21+R21</f>
        <v>974099.86218050704</v>
      </c>
      <c r="U21" s="101">
        <f t="shared" ref="U21" si="19">O21+P21+Q21+R21</f>
        <v>1046711.656476507</v>
      </c>
      <c r="V21" s="32">
        <f t="shared" si="5"/>
        <v>778904.73399999994</v>
      </c>
      <c r="W21" s="32">
        <f t="shared" si="6"/>
        <v>5062.8807710000001</v>
      </c>
      <c r="X21" s="32">
        <f t="shared" si="7"/>
        <v>911.31853877999993</v>
      </c>
      <c r="Y21" s="32">
        <f t="shared" si="8"/>
        <v>5974.1993097800005</v>
      </c>
      <c r="Z21" s="31">
        <v>1024975</v>
      </c>
      <c r="AA21" s="31">
        <v>1104168</v>
      </c>
      <c r="AB21" s="32">
        <f t="shared" si="11"/>
        <v>50875.137819492957</v>
      </c>
      <c r="AC21" s="32">
        <f t="shared" si="11"/>
        <v>57456.343523493037</v>
      </c>
    </row>
    <row r="22" spans="1:29" ht="12.75" customHeight="1" thickBot="1">
      <c r="E22" s="41"/>
      <c r="K22" s="41"/>
      <c r="V22" s="32"/>
      <c r="W22" s="32"/>
      <c r="X22" s="32"/>
      <c r="Y22" s="32"/>
    </row>
    <row r="23" spans="1:29" ht="21.6" customHeight="1">
      <c r="A23" s="219" t="s">
        <v>144</v>
      </c>
      <c r="B23" s="184" t="s">
        <v>78</v>
      </c>
      <c r="C23" s="78" t="s">
        <v>26</v>
      </c>
      <c r="D23" s="79">
        <v>695899.78</v>
      </c>
      <c r="E23" s="105">
        <f t="shared" ref="E23:E34" si="20">((D23*95%*3.283%)-((D23*95%*3.283%)*40%)+13434)+((D23*95%*3.283%)-((D23*95%*3.283%)*40%)+13434)*18%+(D23*95%*0.1%+250)+(D23*95%*0.1%+250)*18%-IF((((D23*95%*3.283%)-((D23*95%*3.283%)*40%))*2.5%)&gt;500,500,(((D23*95%*3.283%)-((D23*95%*3.283%)*40%))*2.5%))-IF((((D23*95%*3.283%)-((D23*95%*3.283%)*40%))*2.5%)&gt;500,500,(((D23*95%*3.283%)-((D23*95%*3.283%)*40%))*2.5%))*18%</f>
        <v>31909.543373552253</v>
      </c>
      <c r="F23" s="79">
        <f t="shared" ref="F23:F34" si="21">(D23*13/100)+(D23*13/100)*2/100+1500</f>
        <v>93776.310828000016</v>
      </c>
      <c r="G23" s="79">
        <v>600</v>
      </c>
      <c r="H23" s="79">
        <v>3238</v>
      </c>
      <c r="I23" s="80">
        <f>D23+E23+F23+G23+H23</f>
        <v>825423.63420155225</v>
      </c>
      <c r="J23" s="79">
        <f t="shared" ref="J23:J34" si="22">D23</f>
        <v>695899.78</v>
      </c>
      <c r="K23" s="105">
        <f t="shared" ref="K23:K34" si="23">((J23*95%*3.283%)-((J23*95%*3.283%)*40%)+11184)+((J23*95%*3.283%)-((J23*95%*3.283%)*40%)+11184)*18%+(J23*95%*0.1%+250)+(J23*95%*0.1%+250)*18%-IF((((J23*95%*3.283%)-((J23*95%*3.283%)*40%))*2.5%)&gt;500,500,(((J23*95%*3.283%)-((J23*95%*3.283%)*40%))*2.5%))-IF((((J23*95%*3.283%)-((J23*95%*3.283%)*40%))*2.5%)&gt;500,500,(((J23*95%*3.283%)-((J23*95%*3.283%)*40%))*2.5%))*18%</f>
        <v>29254.543373552253</v>
      </c>
      <c r="L23" s="82">
        <f t="shared" ref="L23:L34" si="24">(J23*20/100)+(J23*20/100)*2/100+1500</f>
        <v>143463.55512</v>
      </c>
      <c r="M23" s="82">
        <v>600</v>
      </c>
      <c r="N23" s="79">
        <v>3099</v>
      </c>
      <c r="O23" s="80">
        <f>J23+K23+L23+M23+N23</f>
        <v>872316.87849355233</v>
      </c>
      <c r="P23" s="82">
        <v>10301</v>
      </c>
      <c r="Q23" s="82">
        <v>4834</v>
      </c>
      <c r="R23" s="82">
        <f t="shared" ref="R23:R34" si="25">Y23</f>
        <v>5070.6737469700001</v>
      </c>
      <c r="S23" s="82">
        <f>((D23*95%)*0.17%)*1.18</f>
        <v>1326.1762107460002</v>
      </c>
      <c r="T23" s="80">
        <f>I23+P23+Q23+R23</f>
        <v>845629.30794852227</v>
      </c>
      <c r="U23" s="83">
        <f>O23+P23+Q23+R23</f>
        <v>892522.55224052235</v>
      </c>
      <c r="V23" s="32">
        <f t="shared" ref="V23:V34" si="26">D23*95/100</f>
        <v>661104.79099999997</v>
      </c>
      <c r="W23" s="32">
        <f t="shared" ref="W23:W34" si="27">V23*0.65/100</f>
        <v>4297.1811415000002</v>
      </c>
      <c r="X23" s="32">
        <f t="shared" ref="X23:X34" si="28">W23*18/100</f>
        <v>773.49260546999994</v>
      </c>
      <c r="Y23" s="32">
        <f t="shared" ref="Y23:Y34" si="29">W23+X23</f>
        <v>5070.6737469700001</v>
      </c>
    </row>
    <row r="24" spans="1:29" ht="21.6" customHeight="1">
      <c r="A24" s="220"/>
      <c r="B24" s="185"/>
      <c r="C24" s="71" t="s">
        <v>27</v>
      </c>
      <c r="D24" s="72">
        <v>699899.77</v>
      </c>
      <c r="E24" s="106">
        <f t="shared" si="20"/>
        <v>32000.144833248043</v>
      </c>
      <c r="F24" s="72">
        <f t="shared" si="21"/>
        <v>94306.709501999998</v>
      </c>
      <c r="G24" s="72">
        <v>600</v>
      </c>
      <c r="H24" s="72">
        <v>3238</v>
      </c>
      <c r="I24" s="73">
        <f>D24+E24+F24+G24+H24</f>
        <v>830044.62433524802</v>
      </c>
      <c r="J24" s="72">
        <f t="shared" si="22"/>
        <v>699899.77</v>
      </c>
      <c r="K24" s="106">
        <f t="shared" si="23"/>
        <v>29345.144833248043</v>
      </c>
      <c r="L24" s="75">
        <f t="shared" si="24"/>
        <v>144279.55307999998</v>
      </c>
      <c r="M24" s="75">
        <v>600</v>
      </c>
      <c r="N24" s="72">
        <v>3099</v>
      </c>
      <c r="O24" s="73">
        <f>J24+K24+L24+M24+N24</f>
        <v>877223.46791324799</v>
      </c>
      <c r="P24" s="75">
        <v>10301</v>
      </c>
      <c r="Q24" s="75">
        <v>4834</v>
      </c>
      <c r="R24" s="75">
        <f t="shared" si="25"/>
        <v>5099.8196741050015</v>
      </c>
      <c r="S24" s="75">
        <f t="shared" ref="S24:S34" si="30">((D24*95%)*0.17%)*1.18</f>
        <v>1333.7989916890001</v>
      </c>
      <c r="T24" s="73">
        <f t="shared" ref="T24" si="31">I24+P24+Q24+R24</f>
        <v>850279.44400935306</v>
      </c>
      <c r="U24" s="84">
        <f t="shared" ref="U24" si="32">O24+P24+Q24+R24</f>
        <v>897458.28758735303</v>
      </c>
      <c r="V24" s="32">
        <f t="shared" si="26"/>
        <v>664904.78150000004</v>
      </c>
      <c r="W24" s="32">
        <f t="shared" si="27"/>
        <v>4321.8810797500009</v>
      </c>
      <c r="X24" s="32">
        <f t="shared" si="28"/>
        <v>777.93859435500019</v>
      </c>
      <c r="Y24" s="32">
        <f t="shared" si="29"/>
        <v>5099.8196741050015</v>
      </c>
    </row>
    <row r="25" spans="1:29" ht="20.85" customHeight="1">
      <c r="A25" s="220"/>
      <c r="B25" s="185" t="s">
        <v>80</v>
      </c>
      <c r="C25" s="71" t="s">
        <v>26</v>
      </c>
      <c r="D25" s="72">
        <v>775899.75</v>
      </c>
      <c r="E25" s="106">
        <f t="shared" si="20"/>
        <v>33721.576418039607</v>
      </c>
      <c r="F25" s="72">
        <f t="shared" si="21"/>
        <v>104384.30684999999</v>
      </c>
      <c r="G25" s="72">
        <v>600</v>
      </c>
      <c r="H25" s="72">
        <v>3238</v>
      </c>
      <c r="I25" s="73">
        <f t="shared" ref="I25:I33" si="33">D25+E25+F25+G25+H25</f>
        <v>917843.63326803967</v>
      </c>
      <c r="J25" s="72">
        <f t="shared" si="22"/>
        <v>775899.75</v>
      </c>
      <c r="K25" s="106">
        <f t="shared" si="23"/>
        <v>31066.576418039604</v>
      </c>
      <c r="L25" s="75">
        <f t="shared" si="24"/>
        <v>159783.549</v>
      </c>
      <c r="M25" s="75">
        <v>600</v>
      </c>
      <c r="N25" s="72">
        <v>3099</v>
      </c>
      <c r="O25" s="73">
        <f t="shared" ref="O25:O33" si="34">J25+K25+L25+M25+N25</f>
        <v>970448.87541803962</v>
      </c>
      <c r="P25" s="75">
        <v>10301</v>
      </c>
      <c r="Q25" s="75">
        <v>4834</v>
      </c>
      <c r="R25" s="75">
        <f t="shared" si="25"/>
        <v>5653.5935283749996</v>
      </c>
      <c r="S25" s="75">
        <f t="shared" si="30"/>
        <v>1478.6321535750001</v>
      </c>
      <c r="T25" s="73">
        <f t="shared" ref="T25:T33" si="35">I25+P25+Q25+R25</f>
        <v>938632.2267964147</v>
      </c>
      <c r="U25" s="84">
        <f t="shared" ref="U25:U33" si="36">O25+P25+Q25+R25</f>
        <v>991237.46894641465</v>
      </c>
      <c r="V25" s="39">
        <f t="shared" si="26"/>
        <v>737104.76249999995</v>
      </c>
      <c r="W25" s="39">
        <f t="shared" si="27"/>
        <v>4791.1809562499993</v>
      </c>
      <c r="X25" s="32">
        <f t="shared" si="28"/>
        <v>862.41257212499988</v>
      </c>
      <c r="Y25" s="39">
        <f t="shared" si="29"/>
        <v>5653.5935283749996</v>
      </c>
    </row>
    <row r="26" spans="1:29" ht="20.85" customHeight="1">
      <c r="A26" s="220"/>
      <c r="B26" s="185"/>
      <c r="C26" s="71" t="s">
        <v>27</v>
      </c>
      <c r="D26" s="72">
        <v>779899.74</v>
      </c>
      <c r="E26" s="106">
        <f t="shared" si="20"/>
        <v>33812.177877735397</v>
      </c>
      <c r="F26" s="72">
        <f t="shared" si="21"/>
        <v>104914.70552399999</v>
      </c>
      <c r="G26" s="72">
        <v>600</v>
      </c>
      <c r="H26" s="72">
        <v>3238</v>
      </c>
      <c r="I26" s="73">
        <f t="shared" si="33"/>
        <v>922464.62340173533</v>
      </c>
      <c r="J26" s="72">
        <f t="shared" si="22"/>
        <v>779899.74</v>
      </c>
      <c r="K26" s="106">
        <f t="shared" si="23"/>
        <v>31157.17787773539</v>
      </c>
      <c r="L26" s="75">
        <f t="shared" si="24"/>
        <v>160599.54696000001</v>
      </c>
      <c r="M26" s="75">
        <v>600</v>
      </c>
      <c r="N26" s="72">
        <v>3099</v>
      </c>
      <c r="O26" s="73">
        <f t="shared" si="34"/>
        <v>975355.46483773529</v>
      </c>
      <c r="P26" s="75">
        <v>10301</v>
      </c>
      <c r="Q26" s="75">
        <v>4834</v>
      </c>
      <c r="R26" s="75">
        <f t="shared" si="25"/>
        <v>5682.73945551</v>
      </c>
      <c r="S26" s="75">
        <f t="shared" si="30"/>
        <v>1486.2549345179998</v>
      </c>
      <c r="T26" s="73">
        <f t="shared" si="35"/>
        <v>943282.36285724537</v>
      </c>
      <c r="U26" s="84">
        <f t="shared" si="36"/>
        <v>996173.20429324533</v>
      </c>
      <c r="V26" s="32">
        <f t="shared" si="26"/>
        <v>740904.75300000003</v>
      </c>
      <c r="W26" s="32">
        <f t="shared" si="27"/>
        <v>4815.8808945000001</v>
      </c>
      <c r="X26" s="32">
        <f t="shared" si="28"/>
        <v>866.85856101000002</v>
      </c>
      <c r="Y26" s="32">
        <f t="shared" si="29"/>
        <v>5682.73945551</v>
      </c>
    </row>
    <row r="27" spans="1:29" ht="21.6" customHeight="1">
      <c r="A27" s="220"/>
      <c r="B27" s="185" t="s">
        <v>147</v>
      </c>
      <c r="C27" s="71" t="s">
        <v>26</v>
      </c>
      <c r="D27" s="72">
        <v>835899.71</v>
      </c>
      <c r="E27" s="106">
        <f t="shared" si="20"/>
        <v>35080.600805022746</v>
      </c>
      <c r="F27" s="72">
        <f t="shared" si="21"/>
        <v>112340.301546</v>
      </c>
      <c r="G27" s="72">
        <v>600</v>
      </c>
      <c r="H27" s="72">
        <v>3238</v>
      </c>
      <c r="I27" s="73">
        <f t="shared" si="33"/>
        <v>987158.61235102266</v>
      </c>
      <c r="J27" s="72">
        <f t="shared" si="22"/>
        <v>835899.71</v>
      </c>
      <c r="K27" s="106">
        <f t="shared" si="23"/>
        <v>32425.60080502275</v>
      </c>
      <c r="L27" s="75">
        <f t="shared" si="24"/>
        <v>172023.54083999997</v>
      </c>
      <c r="M27" s="75">
        <v>600</v>
      </c>
      <c r="N27" s="72">
        <v>3099</v>
      </c>
      <c r="O27" s="73">
        <f t="shared" si="34"/>
        <v>1044047.8516450226</v>
      </c>
      <c r="P27" s="75">
        <v>11927</v>
      </c>
      <c r="Q27" s="75">
        <v>4834</v>
      </c>
      <c r="R27" s="75">
        <f t="shared" si="25"/>
        <v>6090.7832369150001</v>
      </c>
      <c r="S27" s="75">
        <f t="shared" si="30"/>
        <v>1592.9740773469996</v>
      </c>
      <c r="T27" s="73">
        <f t="shared" si="35"/>
        <v>1010010.3955879377</v>
      </c>
      <c r="U27" s="84">
        <f t="shared" si="36"/>
        <v>1066899.6348819376</v>
      </c>
      <c r="V27" s="32">
        <f t="shared" si="26"/>
        <v>794104.72450000001</v>
      </c>
      <c r="W27" s="32">
        <f t="shared" si="27"/>
        <v>5161.6807092500003</v>
      </c>
      <c r="X27" s="32">
        <f t="shared" si="28"/>
        <v>929.10252766500014</v>
      </c>
      <c r="Y27" s="32">
        <f t="shared" si="29"/>
        <v>6090.7832369150001</v>
      </c>
    </row>
    <row r="28" spans="1:29" ht="21.6" customHeight="1">
      <c r="A28" s="220"/>
      <c r="B28" s="185"/>
      <c r="C28" s="71" t="s">
        <v>27</v>
      </c>
      <c r="D28" s="72">
        <v>839899.71</v>
      </c>
      <c r="E28" s="106">
        <f t="shared" si="20"/>
        <v>35171.202491222735</v>
      </c>
      <c r="F28" s="72">
        <f t="shared" si="21"/>
        <v>112870.701546</v>
      </c>
      <c r="G28" s="72">
        <v>600</v>
      </c>
      <c r="H28" s="72">
        <v>3238</v>
      </c>
      <c r="I28" s="73">
        <f t="shared" si="33"/>
        <v>991779.61403722269</v>
      </c>
      <c r="J28" s="72">
        <f t="shared" si="22"/>
        <v>839899.71</v>
      </c>
      <c r="K28" s="106">
        <f t="shared" si="23"/>
        <v>32516.20249122275</v>
      </c>
      <c r="L28" s="75">
        <f t="shared" si="24"/>
        <v>172839.54083999997</v>
      </c>
      <c r="M28" s="75">
        <v>600</v>
      </c>
      <c r="N28" s="72">
        <v>3099</v>
      </c>
      <c r="O28" s="73">
        <f t="shared" si="34"/>
        <v>1048954.4533312228</v>
      </c>
      <c r="P28" s="75">
        <v>11927</v>
      </c>
      <c r="Q28" s="75">
        <v>4834</v>
      </c>
      <c r="R28" s="75">
        <f t="shared" si="25"/>
        <v>6119.9292369149998</v>
      </c>
      <c r="S28" s="75">
        <f t="shared" si="30"/>
        <v>1600.5968773469997</v>
      </c>
      <c r="T28" s="73">
        <f t="shared" si="35"/>
        <v>1014660.5432741377</v>
      </c>
      <c r="U28" s="84">
        <f t="shared" si="36"/>
        <v>1071835.3825681377</v>
      </c>
      <c r="V28" s="32">
        <f t="shared" si="26"/>
        <v>797904.72450000001</v>
      </c>
      <c r="W28" s="32">
        <f t="shared" si="27"/>
        <v>5186.3807092500001</v>
      </c>
      <c r="X28" s="32">
        <f t="shared" si="28"/>
        <v>933.54852766500005</v>
      </c>
      <c r="Y28" s="32">
        <f t="shared" si="29"/>
        <v>6119.9292369149998</v>
      </c>
    </row>
    <row r="29" spans="1:29" ht="21.6" customHeight="1">
      <c r="A29" s="220"/>
      <c r="B29" s="185" t="s">
        <v>83</v>
      </c>
      <c r="C29" s="71" t="s">
        <v>26</v>
      </c>
      <c r="D29" s="72">
        <v>883899.7</v>
      </c>
      <c r="E29" s="106">
        <f t="shared" si="20"/>
        <v>36167.82081291853</v>
      </c>
      <c r="F29" s="72">
        <f t="shared" si="21"/>
        <v>118705.10021999999</v>
      </c>
      <c r="G29" s="72">
        <v>600</v>
      </c>
      <c r="H29" s="72">
        <v>3238</v>
      </c>
      <c r="I29" s="73">
        <f t="shared" si="33"/>
        <v>1042610.6210329185</v>
      </c>
      <c r="J29" s="72">
        <f t="shared" si="22"/>
        <v>883899.7</v>
      </c>
      <c r="K29" s="106">
        <f t="shared" si="23"/>
        <v>33512.82081291853</v>
      </c>
      <c r="L29" s="75">
        <f t="shared" si="24"/>
        <v>181815.53880000001</v>
      </c>
      <c r="M29" s="75">
        <v>600</v>
      </c>
      <c r="N29" s="72">
        <v>3099</v>
      </c>
      <c r="O29" s="73">
        <f t="shared" si="34"/>
        <v>1102927.0596129184</v>
      </c>
      <c r="P29" s="75">
        <v>11927</v>
      </c>
      <c r="Q29" s="75">
        <v>4834</v>
      </c>
      <c r="R29" s="75">
        <f t="shared" si="25"/>
        <v>6440.5351640500003</v>
      </c>
      <c r="S29" s="75">
        <f t="shared" si="30"/>
        <v>1684.4476582899999</v>
      </c>
      <c r="T29" s="73">
        <f t="shared" si="35"/>
        <v>1065812.1561969684</v>
      </c>
      <c r="U29" s="84">
        <f t="shared" si="36"/>
        <v>1126128.5947769685</v>
      </c>
      <c r="V29" s="32">
        <f t="shared" si="26"/>
        <v>839704.71499999997</v>
      </c>
      <c r="W29" s="32">
        <f t="shared" si="27"/>
        <v>5458.0806474999999</v>
      </c>
      <c r="X29" s="32">
        <f t="shared" si="28"/>
        <v>982.45451654999999</v>
      </c>
      <c r="Y29" s="32">
        <f t="shared" si="29"/>
        <v>6440.5351640500003</v>
      </c>
    </row>
    <row r="30" spans="1:29" ht="21.6" customHeight="1">
      <c r="A30" s="220"/>
      <c r="B30" s="185"/>
      <c r="C30" s="71" t="s">
        <v>27</v>
      </c>
      <c r="D30" s="72">
        <v>887899.69</v>
      </c>
      <c r="E30" s="106">
        <f t="shared" si="20"/>
        <v>36258.42227261432</v>
      </c>
      <c r="F30" s="72">
        <f t="shared" si="21"/>
        <v>119235.49889399999</v>
      </c>
      <c r="G30" s="72">
        <v>600</v>
      </c>
      <c r="H30" s="72">
        <v>3238</v>
      </c>
      <c r="I30" s="73">
        <f t="shared" si="33"/>
        <v>1047231.6111666142</v>
      </c>
      <c r="J30" s="72">
        <f t="shared" si="22"/>
        <v>887899.69</v>
      </c>
      <c r="K30" s="106">
        <f t="shared" si="23"/>
        <v>33603.42227261432</v>
      </c>
      <c r="L30" s="75">
        <f t="shared" si="24"/>
        <v>182631.53675999996</v>
      </c>
      <c r="M30" s="75">
        <v>600</v>
      </c>
      <c r="N30" s="72">
        <v>3099</v>
      </c>
      <c r="O30" s="73">
        <f t="shared" si="34"/>
        <v>1107833.6490326142</v>
      </c>
      <c r="P30" s="75">
        <v>11927</v>
      </c>
      <c r="Q30" s="75">
        <v>4834</v>
      </c>
      <c r="R30" s="75">
        <f t="shared" si="25"/>
        <v>6469.6810911849989</v>
      </c>
      <c r="S30" s="75">
        <f t="shared" si="30"/>
        <v>1692.0704392329999</v>
      </c>
      <c r="T30" s="73">
        <f t="shared" si="35"/>
        <v>1070462.2922577991</v>
      </c>
      <c r="U30" s="84">
        <f t="shared" si="36"/>
        <v>1131064.3301237992</v>
      </c>
      <c r="V30" s="32">
        <f t="shared" si="26"/>
        <v>843504.70549999992</v>
      </c>
      <c r="W30" s="32">
        <f t="shared" si="27"/>
        <v>5482.7805857499989</v>
      </c>
      <c r="X30" s="32">
        <f t="shared" si="28"/>
        <v>986.90050543499979</v>
      </c>
      <c r="Y30" s="32">
        <f t="shared" si="29"/>
        <v>6469.6810911849989</v>
      </c>
    </row>
    <row r="31" spans="1:29" ht="21.6" customHeight="1">
      <c r="A31" s="220"/>
      <c r="B31" s="247" t="s">
        <v>148</v>
      </c>
      <c r="C31" s="71" t="s">
        <v>26</v>
      </c>
      <c r="D31" s="72">
        <v>855899.69</v>
      </c>
      <c r="E31" s="106">
        <f t="shared" si="20"/>
        <v>35533.608783014322</v>
      </c>
      <c r="F31" s="72">
        <f t="shared" si="21"/>
        <v>114992.29889399999</v>
      </c>
      <c r="G31" s="72">
        <v>600</v>
      </c>
      <c r="H31" s="72">
        <v>3238</v>
      </c>
      <c r="I31" s="73">
        <f t="shared" si="33"/>
        <v>1010263.5976770143</v>
      </c>
      <c r="J31" s="72">
        <f>D31</f>
        <v>855899.69</v>
      </c>
      <c r="K31" s="106">
        <f t="shared" si="23"/>
        <v>32878.608783014315</v>
      </c>
      <c r="L31" s="75">
        <f t="shared" si="24"/>
        <v>176103.53675999996</v>
      </c>
      <c r="M31" s="75">
        <v>600</v>
      </c>
      <c r="N31" s="72">
        <v>3099</v>
      </c>
      <c r="O31" s="73">
        <f t="shared" si="34"/>
        <v>1068580.8355430143</v>
      </c>
      <c r="P31" s="75">
        <v>11927</v>
      </c>
      <c r="Q31" s="75">
        <v>4834</v>
      </c>
      <c r="R31" s="75">
        <f>Y31</f>
        <v>6236.5130911849992</v>
      </c>
      <c r="S31" s="75">
        <f t="shared" si="30"/>
        <v>1631.088039233</v>
      </c>
      <c r="T31" s="73">
        <f t="shared" si="35"/>
        <v>1033261.1107681993</v>
      </c>
      <c r="U31" s="84">
        <f t="shared" si="36"/>
        <v>1091578.3486341992</v>
      </c>
      <c r="V31" s="32">
        <f>D31*95/100</f>
        <v>813104.70549999992</v>
      </c>
      <c r="W31" s="32">
        <f>V31*0.65/100</f>
        <v>5285.1805857499994</v>
      </c>
      <c r="X31" s="32">
        <f>W31*18/100</f>
        <v>951.33250543499992</v>
      </c>
      <c r="Y31" s="32">
        <f>W31+X31</f>
        <v>6236.5130911849992</v>
      </c>
    </row>
    <row r="32" spans="1:29" ht="21.6" customHeight="1">
      <c r="A32" s="220"/>
      <c r="B32" s="247"/>
      <c r="C32" s="71" t="s">
        <v>27</v>
      </c>
      <c r="D32" s="72">
        <v>859899.71</v>
      </c>
      <c r="E32" s="106">
        <f t="shared" si="20"/>
        <v>35624.210922222745</v>
      </c>
      <c r="F32" s="72">
        <f t="shared" si="21"/>
        <v>115522.701546</v>
      </c>
      <c r="G32" s="72">
        <v>600</v>
      </c>
      <c r="H32" s="72">
        <v>3238</v>
      </c>
      <c r="I32" s="73">
        <f t="shared" si="33"/>
        <v>1014884.6224682226</v>
      </c>
      <c r="J32" s="72">
        <f>D32</f>
        <v>859899.71</v>
      </c>
      <c r="K32" s="106">
        <f t="shared" si="23"/>
        <v>32969.210922222745</v>
      </c>
      <c r="L32" s="75">
        <f t="shared" si="24"/>
        <v>176919.54083999997</v>
      </c>
      <c r="M32" s="75">
        <v>600</v>
      </c>
      <c r="N32" s="72">
        <v>3099</v>
      </c>
      <c r="O32" s="73">
        <f t="shared" si="34"/>
        <v>1073487.4617622227</v>
      </c>
      <c r="P32" s="75">
        <v>11927</v>
      </c>
      <c r="Q32" s="75">
        <v>4834</v>
      </c>
      <c r="R32" s="75">
        <f>Y32</f>
        <v>6265.6592369150003</v>
      </c>
      <c r="S32" s="75">
        <f t="shared" si="30"/>
        <v>1638.7108773469997</v>
      </c>
      <c r="T32" s="73">
        <f t="shared" si="35"/>
        <v>1037911.2817051376</v>
      </c>
      <c r="U32" s="84">
        <f t="shared" si="36"/>
        <v>1096514.1209991376</v>
      </c>
      <c r="V32" s="32">
        <f>D32*95/100</f>
        <v>816904.72450000001</v>
      </c>
      <c r="W32" s="32">
        <f>V32*0.65/100</f>
        <v>5309.8807092500001</v>
      </c>
      <c r="X32" s="32">
        <f>W32*18/100</f>
        <v>955.77852766499996</v>
      </c>
      <c r="Y32" s="32">
        <f>W32+X32</f>
        <v>6265.6592369150003</v>
      </c>
    </row>
    <row r="33" spans="1:25" ht="21.6" customHeight="1">
      <c r="A33" s="220"/>
      <c r="B33" s="185" t="s">
        <v>149</v>
      </c>
      <c r="C33" s="71" t="s">
        <v>26</v>
      </c>
      <c r="D33" s="72">
        <v>915899.69</v>
      </c>
      <c r="E33" s="106">
        <f t="shared" si="20"/>
        <v>36892.634076014321</v>
      </c>
      <c r="F33" s="72">
        <f t="shared" si="21"/>
        <v>122948.29889399999</v>
      </c>
      <c r="G33" s="72">
        <v>600</v>
      </c>
      <c r="H33" s="72">
        <v>3238</v>
      </c>
      <c r="I33" s="73">
        <f t="shared" si="33"/>
        <v>1079578.6229700141</v>
      </c>
      <c r="J33" s="72">
        <f t="shared" si="22"/>
        <v>915899.69</v>
      </c>
      <c r="K33" s="106">
        <f t="shared" si="23"/>
        <v>34237.634076014321</v>
      </c>
      <c r="L33" s="75">
        <f t="shared" si="24"/>
        <v>188343.53675999996</v>
      </c>
      <c r="M33" s="75">
        <v>600</v>
      </c>
      <c r="N33" s="72">
        <v>3099</v>
      </c>
      <c r="O33" s="73">
        <f t="shared" si="34"/>
        <v>1142179.8608360142</v>
      </c>
      <c r="P33" s="75">
        <v>11927</v>
      </c>
      <c r="Q33" s="75">
        <v>4834</v>
      </c>
      <c r="R33" s="75">
        <f t="shared" si="25"/>
        <v>6673.7030911849997</v>
      </c>
      <c r="S33" s="75">
        <f t="shared" si="30"/>
        <v>1745.4300392329999</v>
      </c>
      <c r="T33" s="73">
        <f t="shared" si="35"/>
        <v>1103013.3260611992</v>
      </c>
      <c r="U33" s="84">
        <f t="shared" si="36"/>
        <v>1165614.5639271992</v>
      </c>
      <c r="V33" s="32">
        <f t="shared" si="26"/>
        <v>870104.70549999992</v>
      </c>
      <c r="W33" s="32">
        <f t="shared" si="27"/>
        <v>5655.6805857499994</v>
      </c>
      <c r="X33" s="32">
        <f t="shared" si="28"/>
        <v>1018.0225054349999</v>
      </c>
      <c r="Y33" s="32">
        <f t="shared" si="29"/>
        <v>6673.7030911849997</v>
      </c>
    </row>
    <row r="34" spans="1:25" ht="21.6" customHeight="1" thickBot="1">
      <c r="A34" s="221"/>
      <c r="B34" s="186"/>
      <c r="C34" s="85" t="s">
        <v>27</v>
      </c>
      <c r="D34" s="86">
        <v>919899.67</v>
      </c>
      <c r="E34" s="107">
        <f t="shared" si="20"/>
        <v>36983.235309205884</v>
      </c>
      <c r="F34" s="86">
        <f t="shared" si="21"/>
        <v>123478.69624200002</v>
      </c>
      <c r="G34" s="86">
        <v>600</v>
      </c>
      <c r="H34" s="86">
        <v>3238</v>
      </c>
      <c r="I34" s="88">
        <f>D34+E34+F34+G34+H34</f>
        <v>1084199.6015512059</v>
      </c>
      <c r="J34" s="86">
        <f t="shared" si="22"/>
        <v>919899.67</v>
      </c>
      <c r="K34" s="107">
        <f t="shared" si="23"/>
        <v>34328.235309205884</v>
      </c>
      <c r="L34" s="89">
        <f t="shared" si="24"/>
        <v>189159.53268</v>
      </c>
      <c r="M34" s="89">
        <v>600</v>
      </c>
      <c r="N34" s="86">
        <v>3099</v>
      </c>
      <c r="O34" s="88">
        <f>J34+K34+L34+M34+N34</f>
        <v>1147086.4379892058</v>
      </c>
      <c r="P34" s="89">
        <v>11927</v>
      </c>
      <c r="Q34" s="89">
        <v>4834</v>
      </c>
      <c r="R34" s="89">
        <f t="shared" si="25"/>
        <v>6702.8489454549999</v>
      </c>
      <c r="S34" s="89">
        <f t="shared" si="30"/>
        <v>1753.0528011189999</v>
      </c>
      <c r="T34" s="88">
        <f t="shared" ref="T34" si="37">I34+P34+Q34+R34</f>
        <v>1107663.4504966608</v>
      </c>
      <c r="U34" s="101">
        <f t="shared" ref="U34" si="38">O34+P34+Q34+R34</f>
        <v>1170550.2869346607</v>
      </c>
      <c r="V34" s="32">
        <f t="shared" si="26"/>
        <v>873904.68650000007</v>
      </c>
      <c r="W34" s="32">
        <f t="shared" si="27"/>
        <v>5680.3804622500002</v>
      </c>
      <c r="X34" s="32">
        <f t="shared" si="28"/>
        <v>1022.4684832050001</v>
      </c>
      <c r="Y34" s="32">
        <f t="shared" si="29"/>
        <v>6702.8489454549999</v>
      </c>
    </row>
    <row r="36" spans="1:25" s="44" customFormat="1" ht="18" customHeight="1"/>
    <row r="37" spans="1:25" s="44" customFormat="1" ht="18.75">
      <c r="A37" s="63" t="s">
        <v>131</v>
      </c>
      <c r="B37" s="53"/>
      <c r="C37" s="52"/>
      <c r="D37" s="60"/>
      <c r="E37" s="54"/>
      <c r="F37" s="54"/>
      <c r="G37" s="54"/>
      <c r="H37" s="54"/>
      <c r="I37" s="60"/>
      <c r="J37" s="60"/>
      <c r="K37" s="60"/>
      <c r="L37" s="60"/>
      <c r="M37" s="60"/>
      <c r="N37" s="60"/>
      <c r="O37" s="60"/>
      <c r="P37" s="60"/>
      <c r="Q37" s="60"/>
      <c r="R37" s="55"/>
    </row>
    <row r="38" spans="1:25" s="44" customFormat="1" ht="18.75">
      <c r="A38" s="63"/>
      <c r="B38" s="53"/>
      <c r="C38" s="52"/>
      <c r="D38" s="60"/>
      <c r="E38" s="54"/>
      <c r="F38" s="54"/>
      <c r="G38" s="54"/>
      <c r="H38" s="54"/>
      <c r="I38" s="60"/>
      <c r="J38" s="60"/>
      <c r="K38" s="60"/>
      <c r="L38" s="60"/>
      <c r="M38" s="60"/>
      <c r="N38" s="60"/>
      <c r="O38" s="60"/>
      <c r="P38" s="60"/>
      <c r="Q38" s="60"/>
      <c r="R38" s="55"/>
    </row>
    <row r="39" spans="1:25" s="44" customFormat="1">
      <c r="A39" s="56" t="s">
        <v>52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7"/>
    </row>
    <row r="40" spans="1:25" s="44" customFormat="1">
      <c r="A40" s="61" t="s">
        <v>84</v>
      </c>
      <c r="B40" s="49"/>
      <c r="C40" s="115" t="s">
        <v>151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57"/>
    </row>
    <row r="41" spans="1:25" s="44" customFormat="1">
      <c r="A41" s="61" t="s">
        <v>150</v>
      </c>
      <c r="B41" s="49"/>
      <c r="C41" s="115" t="s">
        <v>152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57"/>
    </row>
    <row r="42" spans="1:25" s="44" customForma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7"/>
    </row>
    <row r="43" spans="1:25" s="44" customFormat="1">
      <c r="A43" s="58" t="s">
        <v>35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57"/>
    </row>
    <row r="44" spans="1:25" s="44" customFormat="1">
      <c r="A44" s="48" t="s">
        <v>36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1"/>
      <c r="U44" s="51"/>
      <c r="V44" s="51"/>
      <c r="W44" s="51"/>
    </row>
    <row r="45" spans="1:25" s="44" customFormat="1">
      <c r="A45" s="52" t="s">
        <v>61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1"/>
      <c r="V45" s="51"/>
      <c r="W45" s="51"/>
    </row>
    <row r="46" spans="1:25" s="44" customFormat="1">
      <c r="A46" s="52" t="s">
        <v>38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1"/>
      <c r="V46" s="51"/>
      <c r="W46" s="51"/>
    </row>
    <row r="47" spans="1:25" s="44" customFormat="1">
      <c r="A47" s="62" t="s">
        <v>127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1"/>
      <c r="V47" s="51"/>
      <c r="W47" s="51"/>
    </row>
    <row r="48" spans="1:25" s="44" customFormat="1">
      <c r="A48" s="125" t="s">
        <v>176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124"/>
      <c r="V48" s="51"/>
      <c r="W48" s="51"/>
    </row>
    <row r="49" spans="1:23" s="44" customFormat="1" ht="12.75" customHeight="1">
      <c r="A49" s="62" t="s">
        <v>128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1"/>
      <c r="V49" s="51"/>
      <c r="W49" s="51"/>
    </row>
    <row r="50" spans="1:23" s="44" customFormat="1">
      <c r="A50" s="48" t="s">
        <v>39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1"/>
      <c r="V50" s="51"/>
      <c r="W50" s="51"/>
    </row>
    <row r="51" spans="1:23" s="44" customFormat="1" ht="12.75" customHeight="1">
      <c r="A51" s="48" t="s">
        <v>40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</row>
    <row r="52" spans="1:23" s="44" customFormat="1" ht="12.75" customHeight="1">
      <c r="A52" s="181" t="s">
        <v>41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</row>
    <row r="53" spans="1:23" s="44" customFormat="1">
      <c r="A53" s="114" t="s">
        <v>42</v>
      </c>
    </row>
    <row r="54" spans="1:23" s="44" customFormat="1">
      <c r="A54" s="114" t="s">
        <v>154</v>
      </c>
    </row>
    <row r="55" spans="1:23" s="44" customFormat="1">
      <c r="A55" s="48" t="s">
        <v>172</v>
      </c>
    </row>
  </sheetData>
  <sheetProtection selectLockedCells="1" selectUnlockedCells="1"/>
  <mergeCells count="28">
    <mergeCell ref="A52:W52"/>
    <mergeCell ref="B20:B21"/>
    <mergeCell ref="A23:A34"/>
    <mergeCell ref="B23:B24"/>
    <mergeCell ref="B25:B26"/>
    <mergeCell ref="B27:B28"/>
    <mergeCell ref="B29:B30"/>
    <mergeCell ref="B31:B32"/>
    <mergeCell ref="A10:A21"/>
    <mergeCell ref="B10:B11"/>
    <mergeCell ref="B12:B13"/>
    <mergeCell ref="B14:B15"/>
    <mergeCell ref="B16:B17"/>
    <mergeCell ref="B18:B19"/>
    <mergeCell ref="B33:B34"/>
    <mergeCell ref="A7:U7"/>
    <mergeCell ref="A8:A9"/>
    <mergeCell ref="B8:C9"/>
    <mergeCell ref="D8:I8"/>
    <mergeCell ref="J8:O8"/>
    <mergeCell ref="P8:S8"/>
    <mergeCell ref="T8:U8"/>
    <mergeCell ref="A6:U6"/>
    <mergeCell ref="A1:U1"/>
    <mergeCell ref="A2:U2"/>
    <mergeCell ref="A3:U3"/>
    <mergeCell ref="A4:U4"/>
    <mergeCell ref="A5:U5"/>
  </mergeCells>
  <pageMargins left="0" right="0" top="0.19" bottom="0" header="0.16" footer="0"/>
  <pageSetup scale="46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workbookViewId="0">
      <selection sqref="A1:X1"/>
    </sheetView>
  </sheetViews>
  <sheetFormatPr defaultColWidth="9" defaultRowHeight="15"/>
  <cols>
    <col min="1" max="1" width="4.28515625" style="31" customWidth="1"/>
    <col min="2" max="2" width="9" style="31"/>
    <col min="3" max="3" width="8.28515625" style="31" customWidth="1"/>
    <col min="4" max="4" width="9.85546875" style="31" customWidth="1"/>
    <col min="5" max="5" width="11" style="31" customWidth="1"/>
    <col min="6" max="6" width="9.28515625" style="31" customWidth="1"/>
    <col min="7" max="7" width="7.140625" style="31" customWidth="1"/>
    <col min="8" max="9" width="9" style="31"/>
    <col min="10" max="10" width="9.85546875" style="31" customWidth="1"/>
    <col min="11" max="11" width="11.140625" style="31" customWidth="1"/>
    <col min="12" max="12" width="9" style="31"/>
    <col min="13" max="13" width="5.5703125" style="31" bestFit="1" customWidth="1"/>
    <col min="14" max="15" width="8.7109375" style="31" customWidth="1"/>
    <col min="16" max="21" width="9" style="31"/>
    <col min="22" max="22" width="7.7109375" style="31" customWidth="1"/>
    <col min="23" max="24" width="9" style="31"/>
    <col min="25" max="28" width="9" style="31" hidden="1" customWidth="1"/>
    <col min="29" max="41" width="0" style="31" hidden="1" customWidth="1"/>
    <col min="42" max="16384" width="9" style="31"/>
  </cols>
  <sheetData>
    <row r="1" spans="1:41" ht="46.5">
      <c r="A1" s="210" t="s">
        <v>104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2"/>
    </row>
    <row r="2" spans="1:41" ht="28.5">
      <c r="A2" s="213" t="s">
        <v>114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5"/>
    </row>
    <row r="3" spans="1:41" ht="28.5">
      <c r="A3" s="213" t="s">
        <v>105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5"/>
    </row>
    <row r="4" spans="1:41" ht="28.5">
      <c r="A4" s="213" t="s">
        <v>106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5"/>
    </row>
    <row r="5" spans="1:41" ht="20.25" customHeight="1">
      <c r="A5" s="216" t="s">
        <v>107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8"/>
    </row>
    <row r="6" spans="1:41" ht="19.5" thickBot="1">
      <c r="A6" s="198" t="s">
        <v>167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200"/>
    </row>
    <row r="7" spans="1:41" ht="15.75" thickBot="1">
      <c r="A7" s="187" t="s">
        <v>101</v>
      </c>
      <c r="B7" s="201"/>
      <c r="C7" s="201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9"/>
    </row>
    <row r="8" spans="1:41" ht="15.75" customHeight="1" thickBot="1">
      <c r="A8" s="202" t="s">
        <v>4</v>
      </c>
      <c r="B8" s="203" t="s">
        <v>5</v>
      </c>
      <c r="C8" s="204"/>
      <c r="D8" s="207" t="s">
        <v>6</v>
      </c>
      <c r="E8" s="193"/>
      <c r="F8" s="193"/>
      <c r="G8" s="193"/>
      <c r="H8" s="193"/>
      <c r="I8" s="193"/>
      <c r="J8" s="194" t="s">
        <v>7</v>
      </c>
      <c r="K8" s="194"/>
      <c r="L8" s="194"/>
      <c r="M8" s="194"/>
      <c r="N8" s="194"/>
      <c r="O8" s="194"/>
      <c r="P8" s="195" t="s">
        <v>8</v>
      </c>
      <c r="Q8" s="195"/>
      <c r="R8" s="195"/>
      <c r="S8" s="195"/>
      <c r="T8" s="195"/>
      <c r="U8" s="195"/>
      <c r="V8" s="195"/>
      <c r="W8" s="208" t="s">
        <v>9</v>
      </c>
      <c r="X8" s="209"/>
    </row>
    <row r="9" spans="1:41" ht="77.25" thickBot="1">
      <c r="A9" s="202"/>
      <c r="B9" s="205"/>
      <c r="C9" s="206"/>
      <c r="D9" s="23" t="s">
        <v>10</v>
      </c>
      <c r="E9" s="3" t="s">
        <v>11</v>
      </c>
      <c r="F9" s="4" t="s">
        <v>12</v>
      </c>
      <c r="G9" s="4" t="s">
        <v>133</v>
      </c>
      <c r="H9" s="4" t="s">
        <v>13</v>
      </c>
      <c r="I9" s="4" t="s">
        <v>14</v>
      </c>
      <c r="J9" s="3" t="s">
        <v>10</v>
      </c>
      <c r="K9" s="3" t="s">
        <v>15</v>
      </c>
      <c r="L9" s="4" t="s">
        <v>12</v>
      </c>
      <c r="M9" s="4" t="s">
        <v>133</v>
      </c>
      <c r="N9" s="4" t="s">
        <v>13</v>
      </c>
      <c r="O9" s="4" t="s">
        <v>14</v>
      </c>
      <c r="P9" s="5" t="s">
        <v>16</v>
      </c>
      <c r="Q9" s="13" t="s">
        <v>17</v>
      </c>
      <c r="R9" s="5" t="s">
        <v>18</v>
      </c>
      <c r="S9" s="5" t="s">
        <v>19</v>
      </c>
      <c r="T9" s="5" t="s">
        <v>20</v>
      </c>
      <c r="U9" s="5" t="s">
        <v>139</v>
      </c>
      <c r="V9" s="5" t="s">
        <v>21</v>
      </c>
      <c r="W9" s="5" t="s">
        <v>22</v>
      </c>
      <c r="X9" s="21" t="s">
        <v>23</v>
      </c>
      <c r="AD9" s="31" t="s">
        <v>121</v>
      </c>
      <c r="AE9" s="31" t="s">
        <v>122</v>
      </c>
      <c r="AF9" s="31" t="s">
        <v>123</v>
      </c>
      <c r="AG9" s="33" t="s">
        <v>124</v>
      </c>
      <c r="AH9" s="33" t="s">
        <v>125</v>
      </c>
      <c r="AI9" s="33" t="s">
        <v>126</v>
      </c>
    </row>
    <row r="10" spans="1:41" ht="15.75" thickBot="1">
      <c r="A10" s="182" t="s">
        <v>24</v>
      </c>
      <c r="B10" s="184" t="s">
        <v>25</v>
      </c>
      <c r="C10" s="78" t="s">
        <v>26</v>
      </c>
      <c r="D10" s="79">
        <v>482416.85</v>
      </c>
      <c r="E10" s="79">
        <f>((D10*95%*3.283%)-((D10*95%*3.283%)*40%)+13434)+((D10*95%*3.283%)-((D10*95%*3.283%)*40%)+13434)*18%+(D10*95%*0.1%+250)+(D10*95%*0.1%+250)*18%-IF((((D10*95%*3.283%)-((D10*95%*3.283%)*40%))*2.5%)&gt;500,500,(((D10*95%*3.283%)-((D10*95%*3.283%)*40%))*2.5%))-IF((((D10*95%*3.283%)-((D10*95%*3.283%)*40%))*2.5%)&gt;500,500,(((D10*95%*3.283%)-((D10*95%*3.283%)*40%))*2.5%))*18%</f>
        <v>27074.065015323118</v>
      </c>
      <c r="F10" s="79">
        <f t="shared" ref="F10:F19" si="0">(D10*11/100)+(D10*11/100)*2/100+1500</f>
        <v>55627.170569999995</v>
      </c>
      <c r="G10" s="79">
        <v>600</v>
      </c>
      <c r="H10" s="79">
        <v>3099</v>
      </c>
      <c r="I10" s="80">
        <f t="shared" ref="I10:I19" si="1">D10+E10+F10+H10+G10</f>
        <v>568817.08558532305</v>
      </c>
      <c r="J10" s="79">
        <f t="shared" ref="J10:J19" si="2">D10</f>
        <v>482416.85</v>
      </c>
      <c r="K10" s="105">
        <f t="shared" ref="K10:K19" si="3">((J10*95%*3.283%)-((J10*95%*3.283%)*40%)+11184)+((J10*95%*3.283%)-((J10*95%*3.283%)*40%)+11184)*18%+(J10*95%*0.1%+250)+(J10*95%*0.1%+250)*18%-IF((((J10*95%*3.283%)-((J10*95%*3.283%)*40%))*2.5%)&gt;500,500,(((J10*95%*3.283%)-((J10*95%*3.283%)*40%))*2.5%))-IF((((J10*95%*3.283%)-((J10*95%*3.283%)*40%))*2.5%)&gt;500,500,(((J10*95%*3.283%)-((J10*95%*3.283%)*40%))*2.5%))*18%</f>
        <v>24419.065015323118</v>
      </c>
      <c r="L10" s="79">
        <f t="shared" ref="L10:L19" si="4">(J10*20/100)+(J10*20/100)*2/100+1500</f>
        <v>99913.037400000001</v>
      </c>
      <c r="M10" s="79">
        <v>600</v>
      </c>
      <c r="N10" s="79">
        <f>H10</f>
        <v>3099</v>
      </c>
      <c r="O10" s="80">
        <f t="shared" ref="O10:O19" si="5">J10+K10+L10+N10+M10</f>
        <v>610447.95241532312</v>
      </c>
      <c r="P10" s="81">
        <v>5935</v>
      </c>
      <c r="Q10" s="81">
        <v>4834</v>
      </c>
      <c r="R10" s="81">
        <v>2000</v>
      </c>
      <c r="S10" s="82">
        <f>((D10*95%)*0.65%)+(((D10*95%)*0.65%)*18%)</f>
        <v>3515.1303775249999</v>
      </c>
      <c r="T10" s="82">
        <f>((J10*95%)*0.65%)+(((J10*95%)*0.65%)*18%)</f>
        <v>3515.1303775249999</v>
      </c>
      <c r="U10" s="82">
        <f>((D10*95%)*0.17%)*1.18</f>
        <v>919.34179104499992</v>
      </c>
      <c r="V10" s="82">
        <v>7999</v>
      </c>
      <c r="W10" s="80">
        <f>I10+P10+Q10+R10+S10+V10+U10</f>
        <v>594019.55775389308</v>
      </c>
      <c r="X10" s="83">
        <f>O10+P10+Q10+R10+T10+V10+U10</f>
        <v>635650.42458389315</v>
      </c>
      <c r="Y10" s="22">
        <f t="shared" ref="Y10:Y19" si="6">D10*95/100</f>
        <v>458296.00750000001</v>
      </c>
      <c r="Z10" s="32">
        <f t="shared" ref="Z10:Z19" si="7">Y10*0.65/100</f>
        <v>2978.9240487500001</v>
      </c>
      <c r="AA10" s="32">
        <f t="shared" ref="AA10:AA19" si="8">Z10*18/100</f>
        <v>536.20632877499997</v>
      </c>
      <c r="AB10" s="32">
        <f t="shared" ref="AB10:AB19" si="9">Z10+AA10</f>
        <v>3515.1303775249999</v>
      </c>
      <c r="AD10" s="6">
        <v>475654</v>
      </c>
      <c r="AE10" s="6">
        <v>16921</v>
      </c>
      <c r="AF10" s="6">
        <v>16803</v>
      </c>
      <c r="AG10" s="32">
        <f t="shared" ref="AG10:AH13" si="10">AD10-D10</f>
        <v>-6762.8499999999767</v>
      </c>
      <c r="AH10" s="32">
        <f t="shared" si="10"/>
        <v>-10153.065015323118</v>
      </c>
      <c r="AI10" s="32">
        <f t="shared" ref="AI10:AI19" si="11">AF10-K10</f>
        <v>-7616.0650153231181</v>
      </c>
      <c r="AL10" s="31">
        <v>582216</v>
      </c>
      <c r="AM10" s="31">
        <v>626387</v>
      </c>
      <c r="AN10" s="32">
        <f>+AL10-W10</f>
        <v>-11803.557753893081</v>
      </c>
      <c r="AO10" s="32">
        <f>+AM10-X10</f>
        <v>-9263.4245838931529</v>
      </c>
    </row>
    <row r="11" spans="1:41" ht="15.75" thickBot="1">
      <c r="A11" s="182"/>
      <c r="B11" s="185"/>
      <c r="C11" s="71" t="s">
        <v>27</v>
      </c>
      <c r="D11" s="72">
        <v>486416.81</v>
      </c>
      <c r="E11" s="72">
        <f t="shared" ref="E11:E19" si="12">((D11*95%*3.283%)-((D11*95%*3.283%)*40%)+13434)+((D11*95%*3.283%)-((D11*95%*3.283%)*40%)+13434)*18%+(D11*95%*0.1%+250)+(D11*95%*0.1%+250)*18%-IF((((D11*95%*3.283%)-((D11*95%*3.283%)*40%))*2.5%)&gt;500,500,(((D11*95%*3.283%)-((D11*95%*3.283%)*40%))*2.5%))-IF((((D11*95%*3.283%)-((D11*95%*3.283%)*40%))*2.5%)&gt;500,500,(((D11*95%*3.283%)-((D11*95%*3.283%)*40%))*2.5%))*18%</f>
        <v>27164.665795506251</v>
      </c>
      <c r="F11" s="72">
        <f t="shared" si="0"/>
        <v>56075.966081999999</v>
      </c>
      <c r="G11" s="72">
        <v>600</v>
      </c>
      <c r="H11" s="72">
        <v>3099</v>
      </c>
      <c r="I11" s="73">
        <f t="shared" si="1"/>
        <v>573356.44187750621</v>
      </c>
      <c r="J11" s="72">
        <f t="shared" si="2"/>
        <v>486416.81</v>
      </c>
      <c r="K11" s="106">
        <f t="shared" si="3"/>
        <v>24509.665795506251</v>
      </c>
      <c r="L11" s="72">
        <f t="shared" si="4"/>
        <v>100729.02923999999</v>
      </c>
      <c r="M11" s="72">
        <v>600</v>
      </c>
      <c r="N11" s="72">
        <f>H11</f>
        <v>3099</v>
      </c>
      <c r="O11" s="73">
        <f t="shared" si="5"/>
        <v>615354.50503550621</v>
      </c>
      <c r="P11" s="74">
        <v>5935</v>
      </c>
      <c r="Q11" s="74">
        <v>4834</v>
      </c>
      <c r="R11" s="74">
        <v>2000</v>
      </c>
      <c r="S11" s="75">
        <f t="shared" ref="S11:S19" si="13">((D11*95%)*0.65%)+(((D11*95%)*0.65%)*18%)</f>
        <v>3544.2760860650001</v>
      </c>
      <c r="T11" s="75">
        <f t="shared" ref="T11:T19" si="14">((J11*95%)*0.65%)+(((J11*95%)*0.65%)*18%)</f>
        <v>3544.2760860650001</v>
      </c>
      <c r="U11" s="75">
        <f t="shared" ref="U11:U19" si="15">((D11*95%)*0.17%)*1.18</f>
        <v>926.96451481699989</v>
      </c>
      <c r="V11" s="75">
        <v>7999</v>
      </c>
      <c r="W11" s="73">
        <f t="shared" ref="W11:W19" si="16">I11+P11+Q11+R11+S11+V11+U11</f>
        <v>598595.68247838819</v>
      </c>
      <c r="X11" s="84">
        <f t="shared" ref="X11:X19" si="17">O11+P11+Q11+R11+T11+V11+U11</f>
        <v>640593.74563638819</v>
      </c>
      <c r="Y11" s="22">
        <f t="shared" si="6"/>
        <v>462095.96950000001</v>
      </c>
      <c r="Z11" s="32">
        <f t="shared" si="7"/>
        <v>3003.62380175</v>
      </c>
      <c r="AA11" s="32">
        <f t="shared" si="8"/>
        <v>540.65228431499997</v>
      </c>
      <c r="AB11" s="32">
        <f t="shared" si="9"/>
        <v>3544.2760860650001</v>
      </c>
      <c r="AD11" s="7">
        <v>479654</v>
      </c>
      <c r="AE11" s="7">
        <v>17026</v>
      </c>
      <c r="AF11" s="7">
        <v>16908</v>
      </c>
      <c r="AG11" s="32">
        <f t="shared" si="10"/>
        <v>-6762.8099999999977</v>
      </c>
      <c r="AH11" s="32">
        <f t="shared" si="10"/>
        <v>-10138.665795506251</v>
      </c>
      <c r="AI11" s="32">
        <f t="shared" si="11"/>
        <v>-7601.665795506251</v>
      </c>
      <c r="AL11" s="31">
        <v>586790</v>
      </c>
      <c r="AM11" s="31">
        <v>631328</v>
      </c>
      <c r="AN11" s="32">
        <f>+AL11-W11</f>
        <v>-11805.682478388189</v>
      </c>
      <c r="AO11" s="32">
        <f>+AM11-X11</f>
        <v>-9265.7456363881938</v>
      </c>
    </row>
    <row r="12" spans="1:41" ht="15.75" thickBot="1">
      <c r="A12" s="182"/>
      <c r="B12" s="185" t="s">
        <v>28</v>
      </c>
      <c r="C12" s="71" t="s">
        <v>26</v>
      </c>
      <c r="D12" s="72">
        <v>534704.81000000006</v>
      </c>
      <c r="E12" s="72">
        <f t="shared" si="12"/>
        <v>28258.409351312661</v>
      </c>
      <c r="F12" s="72">
        <f t="shared" si="0"/>
        <v>61493.879681999999</v>
      </c>
      <c r="G12" s="72">
        <v>600</v>
      </c>
      <c r="H12" s="72">
        <v>3099</v>
      </c>
      <c r="I12" s="73">
        <f t="shared" si="1"/>
        <v>628156.09903331276</v>
      </c>
      <c r="J12" s="72">
        <f t="shared" si="2"/>
        <v>534704.81000000006</v>
      </c>
      <c r="K12" s="106">
        <f t="shared" si="3"/>
        <v>25603.409351312661</v>
      </c>
      <c r="L12" s="72">
        <f t="shared" si="4"/>
        <v>110579.78124000001</v>
      </c>
      <c r="M12" s="72">
        <v>600</v>
      </c>
      <c r="N12" s="72">
        <f t="shared" ref="N12:N19" si="18">H12</f>
        <v>3099</v>
      </c>
      <c r="O12" s="73">
        <f t="shared" si="5"/>
        <v>674587.00059131277</v>
      </c>
      <c r="P12" s="74">
        <v>5935</v>
      </c>
      <c r="Q12" s="74">
        <v>4834</v>
      </c>
      <c r="R12" s="74">
        <v>2000</v>
      </c>
      <c r="S12" s="75">
        <f t="shared" si="13"/>
        <v>3896.1265980650005</v>
      </c>
      <c r="T12" s="75">
        <f t="shared" si="14"/>
        <v>3896.1265980650005</v>
      </c>
      <c r="U12" s="75">
        <f t="shared" si="15"/>
        <v>1018.9869564170001</v>
      </c>
      <c r="V12" s="75">
        <v>7999</v>
      </c>
      <c r="W12" s="73">
        <f t="shared" si="16"/>
        <v>653839.21258779475</v>
      </c>
      <c r="X12" s="84">
        <f t="shared" si="17"/>
        <v>700270.11414579477</v>
      </c>
      <c r="Y12" s="22">
        <f t="shared" si="6"/>
        <v>507969.56950000004</v>
      </c>
      <c r="Z12" s="32">
        <f t="shared" si="7"/>
        <v>3301.8022017500002</v>
      </c>
      <c r="AA12" s="32">
        <f t="shared" si="8"/>
        <v>594.32439631500006</v>
      </c>
      <c r="AB12" s="32">
        <f t="shared" si="9"/>
        <v>3896.1265980650005</v>
      </c>
      <c r="AD12" s="7">
        <v>527942</v>
      </c>
      <c r="AE12" s="7">
        <v>18293</v>
      </c>
      <c r="AF12" s="7">
        <v>18175</v>
      </c>
      <c r="AG12" s="32">
        <f t="shared" si="10"/>
        <v>-6762.8100000000559</v>
      </c>
      <c r="AH12" s="32">
        <f t="shared" si="10"/>
        <v>-9965.4093513126609</v>
      </c>
      <c r="AI12" s="32">
        <f t="shared" si="11"/>
        <v>-7428.4093513126609</v>
      </c>
      <c r="AL12" s="31">
        <v>642035</v>
      </c>
      <c r="AM12" s="31">
        <v>691006</v>
      </c>
      <c r="AN12" s="32">
        <f t="shared" ref="AN12:AN19" si="19">+AL12-W12</f>
        <v>-11804.212587794755</v>
      </c>
      <c r="AO12" s="32">
        <f t="shared" ref="AO12:AO19" si="20">+AM12-X12</f>
        <v>-9264.114145794767</v>
      </c>
    </row>
    <row r="13" spans="1:41" ht="15.75" thickBot="1">
      <c r="A13" s="182"/>
      <c r="B13" s="185"/>
      <c r="C13" s="71" t="s">
        <v>27</v>
      </c>
      <c r="D13" s="72">
        <v>538704.82999999996</v>
      </c>
      <c r="E13" s="72">
        <f t="shared" si="12"/>
        <v>28349.011490521079</v>
      </c>
      <c r="F13" s="72">
        <f t="shared" si="0"/>
        <v>61942.681926000005</v>
      </c>
      <c r="G13" s="72">
        <v>600</v>
      </c>
      <c r="H13" s="72">
        <v>3099</v>
      </c>
      <c r="I13" s="73">
        <f t="shared" si="1"/>
        <v>632695.52341652114</v>
      </c>
      <c r="J13" s="72">
        <f t="shared" si="2"/>
        <v>538704.82999999996</v>
      </c>
      <c r="K13" s="106">
        <f t="shared" si="3"/>
        <v>25694.011490521083</v>
      </c>
      <c r="L13" s="72">
        <f t="shared" si="4"/>
        <v>111395.78532</v>
      </c>
      <c r="M13" s="72">
        <v>600</v>
      </c>
      <c r="N13" s="72">
        <f t="shared" si="18"/>
        <v>3099</v>
      </c>
      <c r="O13" s="73">
        <f t="shared" si="5"/>
        <v>679493.62681052112</v>
      </c>
      <c r="P13" s="74">
        <v>5935</v>
      </c>
      <c r="Q13" s="74">
        <v>4834</v>
      </c>
      <c r="R13" s="74">
        <v>2000</v>
      </c>
      <c r="S13" s="75">
        <f t="shared" si="13"/>
        <v>3925.2727437949998</v>
      </c>
      <c r="T13" s="75">
        <f t="shared" si="14"/>
        <v>3925.2727437949998</v>
      </c>
      <c r="U13" s="75">
        <f t="shared" si="15"/>
        <v>1026.609794531</v>
      </c>
      <c r="V13" s="75">
        <v>7999</v>
      </c>
      <c r="W13" s="73">
        <f t="shared" si="16"/>
        <v>658415.40595484711</v>
      </c>
      <c r="X13" s="84">
        <f t="shared" si="17"/>
        <v>705213.50934884709</v>
      </c>
      <c r="Y13" s="22">
        <f t="shared" si="6"/>
        <v>511769.58849999995</v>
      </c>
      <c r="Z13" s="32">
        <f t="shared" si="7"/>
        <v>3326.50232525</v>
      </c>
      <c r="AA13" s="32">
        <f t="shared" si="8"/>
        <v>598.77041854499998</v>
      </c>
      <c r="AB13" s="32">
        <f t="shared" si="9"/>
        <v>3925.2727437949998</v>
      </c>
      <c r="AD13" s="7">
        <v>531942</v>
      </c>
      <c r="AE13" s="7">
        <v>18398</v>
      </c>
      <c r="AF13" s="7">
        <v>18280</v>
      </c>
      <c r="AG13" s="32">
        <f t="shared" si="10"/>
        <v>-6762.8299999999581</v>
      </c>
      <c r="AH13" s="32">
        <f t="shared" si="10"/>
        <v>-9951.0114905210794</v>
      </c>
      <c r="AI13" s="32">
        <f t="shared" si="11"/>
        <v>-7414.011490521083</v>
      </c>
      <c r="AL13" s="31">
        <v>646612</v>
      </c>
      <c r="AM13" s="31">
        <v>695950</v>
      </c>
      <c r="AN13" s="32">
        <f t="shared" si="19"/>
        <v>-11803.405954847112</v>
      </c>
      <c r="AO13" s="32">
        <f t="shared" si="20"/>
        <v>-9263.5093488470884</v>
      </c>
    </row>
    <row r="14" spans="1:41" ht="15.75" thickBot="1">
      <c r="A14" s="182"/>
      <c r="B14" s="185" t="s">
        <v>134</v>
      </c>
      <c r="C14" s="71" t="s">
        <v>26</v>
      </c>
      <c r="D14" s="72">
        <v>546704.81000000006</v>
      </c>
      <c r="E14" s="72">
        <f t="shared" si="12"/>
        <v>28530.214409912656</v>
      </c>
      <c r="F14" s="72">
        <f t="shared" si="0"/>
        <v>62840.279682</v>
      </c>
      <c r="G14" s="72">
        <v>600</v>
      </c>
      <c r="H14" s="72">
        <v>3099</v>
      </c>
      <c r="I14" s="73">
        <f t="shared" si="1"/>
        <v>641774.30409191281</v>
      </c>
      <c r="J14" s="72">
        <f t="shared" si="2"/>
        <v>546704.81000000006</v>
      </c>
      <c r="K14" s="106">
        <f t="shared" si="3"/>
        <v>25875.214409912656</v>
      </c>
      <c r="L14" s="72">
        <f t="shared" si="4"/>
        <v>113027.78124000001</v>
      </c>
      <c r="M14" s="72">
        <v>600</v>
      </c>
      <c r="N14" s="72">
        <f t="shared" si="18"/>
        <v>3099</v>
      </c>
      <c r="O14" s="73">
        <f t="shared" si="5"/>
        <v>689306.8056499128</v>
      </c>
      <c r="P14" s="74">
        <v>5935</v>
      </c>
      <c r="Q14" s="74">
        <v>4834</v>
      </c>
      <c r="R14" s="74">
        <v>2000</v>
      </c>
      <c r="S14" s="75">
        <f t="shared" si="13"/>
        <v>3983.5645980650006</v>
      </c>
      <c r="T14" s="75">
        <f t="shared" si="14"/>
        <v>3983.5645980650006</v>
      </c>
      <c r="U14" s="75">
        <f t="shared" si="15"/>
        <v>1041.8553564170002</v>
      </c>
      <c r="V14" s="75">
        <v>7999</v>
      </c>
      <c r="W14" s="73">
        <f t="shared" si="16"/>
        <v>667567.72404639481</v>
      </c>
      <c r="X14" s="84">
        <f t="shared" si="17"/>
        <v>715100.2256043948</v>
      </c>
      <c r="Y14" s="22"/>
      <c r="Z14" s="32"/>
      <c r="AA14" s="32"/>
      <c r="AB14" s="32"/>
      <c r="AD14" s="7"/>
      <c r="AE14" s="7"/>
      <c r="AF14" s="7"/>
      <c r="AG14" s="32"/>
      <c r="AH14" s="32"/>
      <c r="AI14" s="32"/>
      <c r="AL14" s="31">
        <v>655764</v>
      </c>
      <c r="AM14" s="31">
        <v>705836</v>
      </c>
      <c r="AN14" s="32">
        <f t="shared" si="19"/>
        <v>-11803.724046394811</v>
      </c>
      <c r="AO14" s="32">
        <f t="shared" si="20"/>
        <v>-9264.2256043948</v>
      </c>
    </row>
    <row r="15" spans="1:41" ht="15.75" thickBot="1">
      <c r="A15" s="182"/>
      <c r="B15" s="185"/>
      <c r="C15" s="71" t="s">
        <v>27</v>
      </c>
      <c r="D15" s="72">
        <v>550704.81999999995</v>
      </c>
      <c r="E15" s="72">
        <f t="shared" si="12"/>
        <v>28620.816322616873</v>
      </c>
      <c r="F15" s="72">
        <f t="shared" si="0"/>
        <v>63289.08080399999</v>
      </c>
      <c r="G15" s="72">
        <v>600</v>
      </c>
      <c r="H15" s="72">
        <v>3099</v>
      </c>
      <c r="I15" s="73">
        <f t="shared" si="1"/>
        <v>646313.71712661686</v>
      </c>
      <c r="J15" s="72">
        <f t="shared" si="2"/>
        <v>550704.81999999995</v>
      </c>
      <c r="K15" s="106">
        <f t="shared" si="3"/>
        <v>25965.816322616873</v>
      </c>
      <c r="L15" s="72">
        <f t="shared" si="4"/>
        <v>113843.78327999997</v>
      </c>
      <c r="M15" s="72">
        <v>600</v>
      </c>
      <c r="N15" s="72">
        <f t="shared" si="18"/>
        <v>3099</v>
      </c>
      <c r="O15" s="73">
        <f t="shared" si="5"/>
        <v>694213.41960261681</v>
      </c>
      <c r="P15" s="74">
        <v>5935</v>
      </c>
      <c r="Q15" s="74">
        <v>4834</v>
      </c>
      <c r="R15" s="74">
        <v>2000</v>
      </c>
      <c r="S15" s="75">
        <f t="shared" si="13"/>
        <v>4012.7106709299997</v>
      </c>
      <c r="T15" s="75">
        <f t="shared" si="14"/>
        <v>4012.7106709299997</v>
      </c>
      <c r="U15" s="75">
        <f t="shared" si="15"/>
        <v>1049.4781754739997</v>
      </c>
      <c r="V15" s="75">
        <v>7999</v>
      </c>
      <c r="W15" s="73">
        <f t="shared" si="16"/>
        <v>672143.90597302082</v>
      </c>
      <c r="X15" s="84">
        <f t="shared" si="17"/>
        <v>720043.60844902077</v>
      </c>
      <c r="Y15" s="22"/>
      <c r="Z15" s="32"/>
      <c r="AA15" s="32"/>
      <c r="AB15" s="32"/>
      <c r="AD15" s="7"/>
      <c r="AE15" s="7"/>
      <c r="AF15" s="7"/>
      <c r="AG15" s="32"/>
      <c r="AH15" s="32"/>
      <c r="AI15" s="32"/>
      <c r="AL15" s="31">
        <v>660339</v>
      </c>
      <c r="AM15" s="31">
        <v>710779</v>
      </c>
      <c r="AN15" s="32">
        <f t="shared" si="19"/>
        <v>-11804.905973020825</v>
      </c>
      <c r="AO15" s="32">
        <f t="shared" si="20"/>
        <v>-9264.6084490207722</v>
      </c>
    </row>
    <row r="16" spans="1:41" ht="15.75" thickBot="1">
      <c r="A16" s="182"/>
      <c r="B16" s="185" t="s">
        <v>29</v>
      </c>
      <c r="C16" s="71" t="s">
        <v>26</v>
      </c>
      <c r="D16" s="72">
        <v>609000.79</v>
      </c>
      <c r="E16" s="72">
        <f t="shared" si="12"/>
        <v>29941.244617783021</v>
      </c>
      <c r="F16" s="72">
        <f t="shared" si="0"/>
        <v>69829.888638000004</v>
      </c>
      <c r="G16" s="72">
        <v>600</v>
      </c>
      <c r="H16" s="72">
        <v>3099</v>
      </c>
      <c r="I16" s="73">
        <f t="shared" si="1"/>
        <v>712470.92325578304</v>
      </c>
      <c r="J16" s="72">
        <f t="shared" si="2"/>
        <v>609000.79</v>
      </c>
      <c r="K16" s="106">
        <f t="shared" si="3"/>
        <v>27286.244617783021</v>
      </c>
      <c r="L16" s="72">
        <f t="shared" si="4"/>
        <v>125736.16116000002</v>
      </c>
      <c r="M16" s="72">
        <v>600</v>
      </c>
      <c r="N16" s="72">
        <f t="shared" si="18"/>
        <v>3099</v>
      </c>
      <c r="O16" s="73">
        <f t="shared" si="5"/>
        <v>765722.19577778305</v>
      </c>
      <c r="P16" s="74">
        <v>5935</v>
      </c>
      <c r="Q16" s="74">
        <v>4834</v>
      </c>
      <c r="R16" s="74">
        <v>2000</v>
      </c>
      <c r="S16" s="75">
        <f t="shared" si="13"/>
        <v>4437.4842563350003</v>
      </c>
      <c r="T16" s="75">
        <f t="shared" si="14"/>
        <v>4437.4842563350003</v>
      </c>
      <c r="U16" s="75">
        <f t="shared" si="15"/>
        <v>1160.5728055029999</v>
      </c>
      <c r="V16" s="75">
        <v>7999</v>
      </c>
      <c r="W16" s="73">
        <f t="shared" si="16"/>
        <v>738836.98031762103</v>
      </c>
      <c r="X16" s="84">
        <f t="shared" si="17"/>
        <v>792088.25283962104</v>
      </c>
      <c r="Y16" s="22">
        <f t="shared" si="6"/>
        <v>578550.75050000008</v>
      </c>
      <c r="Z16" s="32">
        <f t="shared" si="7"/>
        <v>3760.5798782500005</v>
      </c>
      <c r="AA16" s="32">
        <f t="shared" si="8"/>
        <v>676.90437808500008</v>
      </c>
      <c r="AB16" s="32">
        <f t="shared" si="9"/>
        <v>4437.4842563350003</v>
      </c>
      <c r="AD16" s="7">
        <v>602238</v>
      </c>
      <c r="AE16" s="7">
        <v>20242</v>
      </c>
      <c r="AF16" s="7">
        <v>20124</v>
      </c>
      <c r="AG16" s="32">
        <f t="shared" ref="AG16:AH19" si="21">AD16-D16</f>
        <v>-6762.7900000000373</v>
      </c>
      <c r="AH16" s="32">
        <f t="shared" si="21"/>
        <v>-9699.2446177830207</v>
      </c>
      <c r="AI16" s="32">
        <f t="shared" si="11"/>
        <v>-7162.2446177830207</v>
      </c>
      <c r="AL16" s="31">
        <v>727034</v>
      </c>
      <c r="AM16" s="31">
        <v>782826</v>
      </c>
      <c r="AN16" s="32">
        <f t="shared" si="19"/>
        <v>-11802.980317621026</v>
      </c>
      <c r="AO16" s="32">
        <f t="shared" si="20"/>
        <v>-9262.25283962104</v>
      </c>
    </row>
    <row r="17" spans="1:41" ht="15.75" thickBot="1">
      <c r="A17" s="182"/>
      <c r="B17" s="185"/>
      <c r="C17" s="71" t="s">
        <v>27</v>
      </c>
      <c r="D17" s="72">
        <v>613000.78</v>
      </c>
      <c r="E17" s="72">
        <f t="shared" si="12"/>
        <v>30031.846077478804</v>
      </c>
      <c r="F17" s="72">
        <f t="shared" si="0"/>
        <v>70278.687516000005</v>
      </c>
      <c r="G17" s="72">
        <v>600</v>
      </c>
      <c r="H17" s="72">
        <v>3099</v>
      </c>
      <c r="I17" s="73">
        <f t="shared" si="1"/>
        <v>717010.31359347887</v>
      </c>
      <c r="J17" s="72">
        <f t="shared" si="2"/>
        <v>613000.78</v>
      </c>
      <c r="K17" s="106">
        <f t="shared" si="3"/>
        <v>27376.846077478807</v>
      </c>
      <c r="L17" s="72">
        <f t="shared" si="4"/>
        <v>126552.15912000001</v>
      </c>
      <c r="M17" s="72">
        <v>600</v>
      </c>
      <c r="N17" s="72">
        <f t="shared" si="18"/>
        <v>3099</v>
      </c>
      <c r="O17" s="73">
        <f t="shared" si="5"/>
        <v>770628.78519747884</v>
      </c>
      <c r="P17" s="74">
        <v>5935</v>
      </c>
      <c r="Q17" s="74">
        <v>4834</v>
      </c>
      <c r="R17" s="74">
        <v>2000</v>
      </c>
      <c r="S17" s="75">
        <f t="shared" si="13"/>
        <v>4466.6301834700007</v>
      </c>
      <c r="T17" s="75">
        <f t="shared" si="14"/>
        <v>4466.6301834700007</v>
      </c>
      <c r="U17" s="75">
        <f t="shared" si="15"/>
        <v>1168.1955864460001</v>
      </c>
      <c r="V17" s="75">
        <v>7999</v>
      </c>
      <c r="W17" s="73">
        <f t="shared" si="16"/>
        <v>743413.13936339482</v>
      </c>
      <c r="X17" s="84">
        <f t="shared" si="17"/>
        <v>797031.61096739478</v>
      </c>
      <c r="Y17" s="22">
        <f t="shared" si="6"/>
        <v>582350.74100000004</v>
      </c>
      <c r="Z17" s="32">
        <f t="shared" si="7"/>
        <v>3785.2798165000004</v>
      </c>
      <c r="AA17" s="32">
        <f t="shared" si="8"/>
        <v>681.35036696999998</v>
      </c>
      <c r="AB17" s="32">
        <f t="shared" si="9"/>
        <v>4466.6301834700007</v>
      </c>
      <c r="AD17" s="7">
        <v>606238</v>
      </c>
      <c r="AE17" s="7">
        <v>20347</v>
      </c>
      <c r="AF17" s="7">
        <v>20229</v>
      </c>
      <c r="AG17" s="32">
        <f t="shared" si="21"/>
        <v>-6762.7800000000279</v>
      </c>
      <c r="AH17" s="32">
        <f t="shared" si="21"/>
        <v>-9684.8460774788036</v>
      </c>
      <c r="AI17" s="32">
        <f t="shared" si="11"/>
        <v>-7147.8460774788073</v>
      </c>
      <c r="AL17" s="31">
        <v>731608</v>
      </c>
      <c r="AM17" s="31">
        <v>787766</v>
      </c>
      <c r="AN17" s="32">
        <f t="shared" si="19"/>
        <v>-11805.139363394817</v>
      </c>
      <c r="AO17" s="32">
        <f t="shared" si="20"/>
        <v>-9265.6109673947794</v>
      </c>
    </row>
    <row r="18" spans="1:41" ht="15.75" thickBot="1">
      <c r="A18" s="182"/>
      <c r="B18" s="185" t="s">
        <v>30</v>
      </c>
      <c r="C18" s="71" t="s">
        <v>26</v>
      </c>
      <c r="D18" s="72">
        <v>694875.77</v>
      </c>
      <c r="E18" s="72">
        <f t="shared" si="12"/>
        <v>31886.349115380839</v>
      </c>
      <c r="F18" s="72">
        <f t="shared" si="0"/>
        <v>79465.061394000004</v>
      </c>
      <c r="G18" s="72">
        <v>600</v>
      </c>
      <c r="H18" s="72">
        <v>3099</v>
      </c>
      <c r="I18" s="73">
        <f t="shared" si="1"/>
        <v>809926.18050938076</v>
      </c>
      <c r="J18" s="72">
        <f t="shared" si="2"/>
        <v>694875.77</v>
      </c>
      <c r="K18" s="106">
        <f t="shared" si="3"/>
        <v>29231.349115380839</v>
      </c>
      <c r="L18" s="72">
        <f t="shared" si="4"/>
        <v>143254.65708</v>
      </c>
      <c r="M18" s="72">
        <v>600</v>
      </c>
      <c r="N18" s="72">
        <f t="shared" si="18"/>
        <v>3099</v>
      </c>
      <c r="O18" s="73">
        <f t="shared" si="5"/>
        <v>871060.77619538084</v>
      </c>
      <c r="P18" s="74">
        <v>5935</v>
      </c>
      <c r="Q18" s="74">
        <v>4834</v>
      </c>
      <c r="R18" s="74">
        <v>2000</v>
      </c>
      <c r="S18" s="75">
        <f t="shared" si="13"/>
        <v>5063.2122981050006</v>
      </c>
      <c r="T18" s="75">
        <f t="shared" si="14"/>
        <v>5063.2122981050006</v>
      </c>
      <c r="U18" s="75">
        <f t="shared" si="15"/>
        <v>1324.224754889</v>
      </c>
      <c r="V18" s="75">
        <v>7999</v>
      </c>
      <c r="W18" s="73">
        <f t="shared" si="16"/>
        <v>837081.6175623748</v>
      </c>
      <c r="X18" s="84">
        <f t="shared" si="17"/>
        <v>898216.21324837487</v>
      </c>
      <c r="Y18" s="22">
        <f t="shared" si="6"/>
        <v>660131.98149999999</v>
      </c>
      <c r="Z18" s="32">
        <f t="shared" si="7"/>
        <v>4290.8578797499995</v>
      </c>
      <c r="AA18" s="32">
        <f t="shared" si="8"/>
        <v>772.35441835499989</v>
      </c>
      <c r="AB18" s="32">
        <f t="shared" si="9"/>
        <v>5063.2122981049997</v>
      </c>
      <c r="AD18" s="8">
        <v>688113</v>
      </c>
      <c r="AE18" s="9">
        <v>22496</v>
      </c>
      <c r="AF18" s="9">
        <v>22378</v>
      </c>
      <c r="AG18" s="32">
        <f t="shared" si="21"/>
        <v>-6762.7700000000186</v>
      </c>
      <c r="AH18" s="32">
        <f t="shared" si="21"/>
        <v>-9390.3491153808391</v>
      </c>
      <c r="AI18" s="32">
        <f t="shared" si="11"/>
        <v>-6853.3491153808391</v>
      </c>
      <c r="AL18" s="31">
        <v>825276</v>
      </c>
      <c r="AM18" s="31">
        <v>888951</v>
      </c>
      <c r="AN18" s="32">
        <f t="shared" si="19"/>
        <v>-11805.617562374799</v>
      </c>
      <c r="AO18" s="32">
        <f t="shared" si="20"/>
        <v>-9265.2132483748719</v>
      </c>
    </row>
    <row r="19" spans="1:41" ht="15.75" thickBot="1">
      <c r="A19" s="182"/>
      <c r="B19" s="186"/>
      <c r="C19" s="85" t="s">
        <v>27</v>
      </c>
      <c r="D19" s="86">
        <v>698875.75</v>
      </c>
      <c r="E19" s="86">
        <f t="shared" si="12"/>
        <v>31976.950348572409</v>
      </c>
      <c r="F19" s="86">
        <f t="shared" si="0"/>
        <v>79913.859150000004</v>
      </c>
      <c r="G19" s="86">
        <v>600</v>
      </c>
      <c r="H19" s="86">
        <v>3099</v>
      </c>
      <c r="I19" s="88">
        <f t="shared" si="1"/>
        <v>814465.55949857249</v>
      </c>
      <c r="J19" s="86">
        <f t="shared" si="2"/>
        <v>698875.75</v>
      </c>
      <c r="K19" s="107">
        <f t="shared" si="3"/>
        <v>29321.950348572409</v>
      </c>
      <c r="L19" s="86">
        <f t="shared" si="4"/>
        <v>144070.65299999999</v>
      </c>
      <c r="M19" s="86">
        <v>600</v>
      </c>
      <c r="N19" s="86">
        <f t="shared" si="18"/>
        <v>3099</v>
      </c>
      <c r="O19" s="88">
        <f t="shared" si="5"/>
        <v>875967.35334857251</v>
      </c>
      <c r="P19" s="87">
        <v>5935</v>
      </c>
      <c r="Q19" s="87">
        <v>4834</v>
      </c>
      <c r="R19" s="87">
        <v>2000</v>
      </c>
      <c r="S19" s="89">
        <f t="shared" si="13"/>
        <v>5092.3581523749999</v>
      </c>
      <c r="T19" s="89">
        <f t="shared" si="14"/>
        <v>5092.3581523749999</v>
      </c>
      <c r="U19" s="89">
        <f t="shared" si="15"/>
        <v>1331.847516775</v>
      </c>
      <c r="V19" s="90">
        <v>7999</v>
      </c>
      <c r="W19" s="88">
        <f t="shared" si="16"/>
        <v>841657.76516772248</v>
      </c>
      <c r="X19" s="101">
        <f t="shared" si="17"/>
        <v>903159.55901772249</v>
      </c>
      <c r="Y19" s="22">
        <f t="shared" si="6"/>
        <v>663931.96250000002</v>
      </c>
      <c r="Z19" s="32">
        <f t="shared" si="7"/>
        <v>4315.5577562500002</v>
      </c>
      <c r="AA19" s="32">
        <f t="shared" si="8"/>
        <v>776.80039612500002</v>
      </c>
      <c r="AB19" s="32">
        <f t="shared" si="9"/>
        <v>5092.3581523749999</v>
      </c>
      <c r="AD19" s="10">
        <v>692113</v>
      </c>
      <c r="AE19" s="11">
        <v>22600</v>
      </c>
      <c r="AF19" s="11">
        <v>22482</v>
      </c>
      <c r="AG19" s="32">
        <f t="shared" si="21"/>
        <v>-6762.75</v>
      </c>
      <c r="AH19" s="32">
        <f t="shared" si="21"/>
        <v>-9376.950348572409</v>
      </c>
      <c r="AI19" s="32">
        <f t="shared" si="11"/>
        <v>-6839.950348572409</v>
      </c>
      <c r="AL19" s="31">
        <v>829853</v>
      </c>
      <c r="AM19" s="31">
        <v>893895</v>
      </c>
      <c r="AN19" s="32">
        <f t="shared" si="19"/>
        <v>-11804.765167722479</v>
      </c>
      <c r="AO19" s="32">
        <f t="shared" si="20"/>
        <v>-9264.5590177224949</v>
      </c>
    </row>
    <row r="20" spans="1:41" ht="15.75" thickBo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6"/>
    </row>
    <row r="21" spans="1:41" ht="15.75" thickBot="1">
      <c r="A21" s="187" t="s">
        <v>102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9"/>
    </row>
    <row r="22" spans="1:41" ht="15.75" thickBot="1">
      <c r="A22" s="190" t="s">
        <v>4</v>
      </c>
      <c r="B22" s="191" t="s">
        <v>5</v>
      </c>
      <c r="C22" s="191"/>
      <c r="D22" s="193" t="s">
        <v>6</v>
      </c>
      <c r="E22" s="193"/>
      <c r="F22" s="193"/>
      <c r="G22" s="193"/>
      <c r="H22" s="193"/>
      <c r="I22" s="193"/>
      <c r="J22" s="194" t="s">
        <v>7</v>
      </c>
      <c r="K22" s="194"/>
      <c r="L22" s="194"/>
      <c r="M22" s="194"/>
      <c r="N22" s="194"/>
      <c r="O22" s="194"/>
      <c r="P22" s="195" t="s">
        <v>8</v>
      </c>
      <c r="Q22" s="195"/>
      <c r="R22" s="195"/>
      <c r="S22" s="195"/>
      <c r="T22" s="195"/>
      <c r="U22" s="195"/>
      <c r="V22" s="195"/>
      <c r="W22" s="196" t="s">
        <v>9</v>
      </c>
      <c r="X22" s="197"/>
    </row>
    <row r="23" spans="1:41" ht="77.25" thickBot="1">
      <c r="A23" s="190"/>
      <c r="B23" s="192"/>
      <c r="C23" s="192"/>
      <c r="D23" s="3" t="s">
        <v>10</v>
      </c>
      <c r="E23" s="3" t="s">
        <v>11</v>
      </c>
      <c r="F23" s="4" t="s">
        <v>12</v>
      </c>
      <c r="G23" s="4" t="s">
        <v>133</v>
      </c>
      <c r="H23" s="4" t="s">
        <v>13</v>
      </c>
      <c r="I23" s="4" t="s">
        <v>14</v>
      </c>
      <c r="J23" s="3" t="s">
        <v>10</v>
      </c>
      <c r="K23" s="3" t="s">
        <v>15</v>
      </c>
      <c r="L23" s="4" t="s">
        <v>12</v>
      </c>
      <c r="M23" s="4" t="s">
        <v>133</v>
      </c>
      <c r="N23" s="4" t="s">
        <v>13</v>
      </c>
      <c r="O23" s="4" t="s">
        <v>14</v>
      </c>
      <c r="P23" s="5" t="s">
        <v>16</v>
      </c>
      <c r="Q23" s="13" t="s">
        <v>17</v>
      </c>
      <c r="R23" s="5" t="s">
        <v>18</v>
      </c>
      <c r="S23" s="5" t="s">
        <v>19</v>
      </c>
      <c r="T23" s="5" t="s">
        <v>20</v>
      </c>
      <c r="U23" s="5" t="s">
        <v>139</v>
      </c>
      <c r="V23" s="5" t="s">
        <v>21</v>
      </c>
      <c r="W23" s="5" t="s">
        <v>22</v>
      </c>
      <c r="X23" s="21" t="s">
        <v>23</v>
      </c>
    </row>
    <row r="24" spans="1:41" ht="15.75" thickBot="1">
      <c r="A24" s="182" t="s">
        <v>24</v>
      </c>
      <c r="B24" s="184" t="s">
        <v>31</v>
      </c>
      <c r="C24" s="78" t="s">
        <v>26</v>
      </c>
      <c r="D24" s="79">
        <v>482416.85</v>
      </c>
      <c r="E24" s="79">
        <f t="shared" ref="E24:E33" si="22">((D24*95%*3.283%)-((D24*95%*3.283%)*40%)+13434)+((D24*95%*3.283%)-((D24*95%*3.283%)*40%)+13434)*18%+(D24*95%*0.1%+250)+(D24*95%*0.1%+250)*18%-IF((((D24*95%*3.283%)-((D24*95%*3.283%)*40%))*2.5%)&gt;500,500,(((D24*95%*3.283%)-((D24*95%*3.283%)*40%))*2.5%))-IF((((D24*95%*3.283%)-((D24*95%*3.283%)*40%))*2.5%)&gt;500,500,(((D24*95%*3.283%)-((D24*95%*3.283%)*40%))*2.5%))*18%</f>
        <v>27074.065015323118</v>
      </c>
      <c r="F24" s="79">
        <f t="shared" ref="F24:F33" si="23">(D24*11/100)+(D24*11/100)*2/100+1500</f>
        <v>55627.170569999995</v>
      </c>
      <c r="G24" s="79">
        <v>600</v>
      </c>
      <c r="H24" s="79">
        <v>3099</v>
      </c>
      <c r="I24" s="80">
        <f t="shared" ref="I24:I33" si="24">D24+E24+F24+H24+G24</f>
        <v>568817.08558532305</v>
      </c>
      <c r="J24" s="79">
        <f t="shared" ref="J24:J33" si="25">D24</f>
        <v>482416.85</v>
      </c>
      <c r="K24" s="105">
        <f t="shared" ref="K24:K33" si="26">((J24*95%*3.191%)-((J24*95%*3.191%)*40%)+11184)+((J24*95%*3.191%)-((J24*95%*3.191%)*40%)+11184)*18%+(J24*95%*0.1%+250)+(J24*95%*0.1%+250)*18%-IF((((J24*95%*3.191%)-((J24*95%*3.191%)*40%))*2.5%)&gt;500,500,(((J24*95%*3.191%)-((J24*95%*3.191%)*40%))*2.5%))-IF((((J24*95%*3.191%)-((J24*95%*3.191%)*40%))*2.5%)&gt;500,500,(((J24*95%*3.191%)-((J24*95%*3.191%)*40%))*2.5%))*18%</f>
        <v>24128.012220064051</v>
      </c>
      <c r="L24" s="79">
        <f t="shared" ref="L24:L33" si="27">(J24*20/100)+(J24*20/100)*2/100+1500</f>
        <v>99913.037400000001</v>
      </c>
      <c r="M24" s="79">
        <v>600</v>
      </c>
      <c r="N24" s="79">
        <v>3099</v>
      </c>
      <c r="O24" s="80">
        <f t="shared" ref="O24:O33" si="28">J24+K24+L24+N24+M24</f>
        <v>610156.89962006407</v>
      </c>
      <c r="P24" s="81">
        <v>5935</v>
      </c>
      <c r="Q24" s="81">
        <v>4834</v>
      </c>
      <c r="R24" s="81">
        <v>2000</v>
      </c>
      <c r="S24" s="82">
        <f>((D24*95%)*0.65%)+(((D24*95%)*0.65%)*18%)</f>
        <v>3515.1303775249999</v>
      </c>
      <c r="T24" s="82">
        <f>((J24*95%)*0.65%)+(((J24*95%)*0.65%)*18%)</f>
        <v>3515.1303775249999</v>
      </c>
      <c r="U24" s="82">
        <f>((D24*95%)*0.17%)*1.18</f>
        <v>919.34179104499992</v>
      </c>
      <c r="V24" s="82">
        <v>7999</v>
      </c>
      <c r="W24" s="80">
        <f t="shared" ref="W24" si="29">I24+P24+Q24+R24+S24+V24+U24</f>
        <v>594019.55775389308</v>
      </c>
      <c r="X24" s="83">
        <f t="shared" ref="X24" si="30">O24+P24+Q24+R24+T24+V24+U24</f>
        <v>635359.3717886341</v>
      </c>
      <c r="Y24" s="22">
        <f t="shared" ref="Y24:Y33" si="31">D24*95/100</f>
        <v>458296.00750000001</v>
      </c>
      <c r="Z24" s="32">
        <f t="shared" ref="Z24:Z33" si="32">Y24*0.65/100</f>
        <v>2978.9240487500001</v>
      </c>
      <c r="AA24" s="32">
        <f t="shared" ref="AA24:AA33" si="33">Z24*18/100</f>
        <v>536.20632877499997</v>
      </c>
      <c r="AB24" s="32">
        <f t="shared" ref="AB24:AB33" si="34">Z24+AA24</f>
        <v>3515.1303775249999</v>
      </c>
      <c r="AD24" s="6">
        <f>AD10</f>
        <v>475654</v>
      </c>
      <c r="AE24" s="6">
        <v>16586</v>
      </c>
      <c r="AF24" s="6">
        <v>16468</v>
      </c>
      <c r="AG24" s="32">
        <f t="shared" ref="AG24:AH27" si="35">AD24-D24</f>
        <v>-6762.8499999999767</v>
      </c>
      <c r="AH24" s="32">
        <f t="shared" si="35"/>
        <v>-10488.065015323118</v>
      </c>
      <c r="AI24" s="32">
        <f t="shared" ref="AI24:AI33" si="36">AF24-K24</f>
        <v>-7660.0122200640508</v>
      </c>
    </row>
    <row r="25" spans="1:41" ht="15.75" thickBot="1">
      <c r="A25" s="182"/>
      <c r="B25" s="185"/>
      <c r="C25" s="71" t="s">
        <v>27</v>
      </c>
      <c r="D25" s="72">
        <v>486416.81</v>
      </c>
      <c r="E25" s="72">
        <f t="shared" si="22"/>
        <v>27164.665795506251</v>
      </c>
      <c r="F25" s="72">
        <f t="shared" si="23"/>
        <v>56075.966081999999</v>
      </c>
      <c r="G25" s="72">
        <v>600</v>
      </c>
      <c r="H25" s="72">
        <v>3099</v>
      </c>
      <c r="I25" s="73">
        <f t="shared" si="24"/>
        <v>573356.44187750621</v>
      </c>
      <c r="J25" s="72">
        <f t="shared" si="25"/>
        <v>486416.81</v>
      </c>
      <c r="K25" s="106">
        <f t="shared" si="26"/>
        <v>24216.19973558007</v>
      </c>
      <c r="L25" s="72">
        <f t="shared" si="27"/>
        <v>100729.02923999999</v>
      </c>
      <c r="M25" s="72">
        <v>600</v>
      </c>
      <c r="N25" s="72">
        <v>3099</v>
      </c>
      <c r="O25" s="73">
        <f t="shared" si="28"/>
        <v>615061.03897558001</v>
      </c>
      <c r="P25" s="74">
        <v>5935</v>
      </c>
      <c r="Q25" s="74">
        <v>4834</v>
      </c>
      <c r="R25" s="74">
        <v>2000</v>
      </c>
      <c r="S25" s="75">
        <f t="shared" ref="S25:S33" si="37">((D25*95%)*0.65%)+(((D25*95%)*0.65%)*18%)</f>
        <v>3544.2760860650001</v>
      </c>
      <c r="T25" s="75">
        <f t="shared" ref="T25:T33" si="38">((J25*95%)*0.65%)+(((J25*95%)*0.65%)*18%)</f>
        <v>3544.2760860650001</v>
      </c>
      <c r="U25" s="75">
        <f t="shared" ref="U25:U33" si="39">((D25*95%)*0.17%)*1.18</f>
        <v>926.96451481699989</v>
      </c>
      <c r="V25" s="75">
        <v>7999</v>
      </c>
      <c r="W25" s="73">
        <f t="shared" ref="W25:W33" si="40">I25+P25+Q25+R25+S25+V25+U25</f>
        <v>598595.68247838819</v>
      </c>
      <c r="X25" s="84">
        <f t="shared" ref="X25:X33" si="41">O25+P25+Q25+R25+T25+V25+U25</f>
        <v>640300.279576462</v>
      </c>
      <c r="Y25" s="22">
        <f t="shared" si="31"/>
        <v>462095.96950000001</v>
      </c>
      <c r="Z25" s="32">
        <f t="shared" si="32"/>
        <v>3003.62380175</v>
      </c>
      <c r="AA25" s="32">
        <f t="shared" si="33"/>
        <v>540.65228431499997</v>
      </c>
      <c r="AB25" s="32">
        <f t="shared" si="34"/>
        <v>3544.2760860650001</v>
      </c>
      <c r="AD25" s="7">
        <f>AD11</f>
        <v>479654</v>
      </c>
      <c r="AE25" s="7">
        <v>16688</v>
      </c>
      <c r="AF25" s="7">
        <v>16570</v>
      </c>
      <c r="AG25" s="32">
        <f t="shared" si="35"/>
        <v>-6762.8099999999977</v>
      </c>
      <c r="AH25" s="32">
        <f t="shared" si="35"/>
        <v>-10476.665795506251</v>
      </c>
      <c r="AI25" s="32">
        <f t="shared" si="36"/>
        <v>-7646.1997355800704</v>
      </c>
    </row>
    <row r="26" spans="1:41" ht="15.75" thickBot="1">
      <c r="A26" s="182"/>
      <c r="B26" s="185" t="s">
        <v>28</v>
      </c>
      <c r="C26" s="71" t="s">
        <v>26</v>
      </c>
      <c r="D26" s="72">
        <v>534704.81000000006</v>
      </c>
      <c r="E26" s="72">
        <f t="shared" si="22"/>
        <v>28258.409351312661</v>
      </c>
      <c r="F26" s="72">
        <f t="shared" si="23"/>
        <v>61493.879681999999</v>
      </c>
      <c r="G26" s="72">
        <v>600</v>
      </c>
      <c r="H26" s="72">
        <v>3099</v>
      </c>
      <c r="I26" s="73">
        <f t="shared" si="24"/>
        <v>628156.09903331276</v>
      </c>
      <c r="J26" s="72">
        <f t="shared" si="25"/>
        <v>534704.81000000006</v>
      </c>
      <c r="K26" s="106">
        <f t="shared" si="26"/>
        <v>25280.81006899288</v>
      </c>
      <c r="L26" s="72">
        <f t="shared" si="27"/>
        <v>110579.78124000001</v>
      </c>
      <c r="M26" s="72">
        <v>600</v>
      </c>
      <c r="N26" s="72">
        <v>3099</v>
      </c>
      <c r="O26" s="73">
        <f t="shared" si="28"/>
        <v>674264.40130899299</v>
      </c>
      <c r="P26" s="74">
        <v>5935</v>
      </c>
      <c r="Q26" s="74">
        <v>4834</v>
      </c>
      <c r="R26" s="74">
        <v>2000</v>
      </c>
      <c r="S26" s="75">
        <f t="shared" si="37"/>
        <v>3896.1265980650005</v>
      </c>
      <c r="T26" s="75">
        <f t="shared" si="38"/>
        <v>3896.1265980650005</v>
      </c>
      <c r="U26" s="75">
        <f t="shared" si="39"/>
        <v>1018.9869564170001</v>
      </c>
      <c r="V26" s="75">
        <v>7999</v>
      </c>
      <c r="W26" s="73">
        <f t="shared" si="40"/>
        <v>653839.21258779475</v>
      </c>
      <c r="X26" s="84">
        <f t="shared" si="41"/>
        <v>699947.51486347499</v>
      </c>
      <c r="Y26" s="22">
        <f t="shared" si="31"/>
        <v>507969.56950000004</v>
      </c>
      <c r="Z26" s="32">
        <f t="shared" si="32"/>
        <v>3301.8022017500002</v>
      </c>
      <c r="AA26" s="32">
        <f t="shared" si="33"/>
        <v>594.32439631500006</v>
      </c>
      <c r="AB26" s="32">
        <f t="shared" si="34"/>
        <v>3896.1265980650005</v>
      </c>
      <c r="AD26" s="7">
        <f>AD12</f>
        <v>527942</v>
      </c>
      <c r="AE26" s="7">
        <v>17921</v>
      </c>
      <c r="AF26" s="7">
        <v>17803</v>
      </c>
      <c r="AG26" s="32">
        <f t="shared" si="35"/>
        <v>-6762.8100000000559</v>
      </c>
      <c r="AH26" s="32">
        <f t="shared" si="35"/>
        <v>-10337.409351312661</v>
      </c>
      <c r="AI26" s="32">
        <f t="shared" si="36"/>
        <v>-7477.8100689928797</v>
      </c>
    </row>
    <row r="27" spans="1:41" ht="15.75" thickBot="1">
      <c r="A27" s="182"/>
      <c r="B27" s="185"/>
      <c r="C27" s="71" t="s">
        <v>27</v>
      </c>
      <c r="D27" s="72">
        <v>538704.82999999996</v>
      </c>
      <c r="E27" s="72">
        <f t="shared" si="22"/>
        <v>28349.011490521079</v>
      </c>
      <c r="F27" s="72">
        <f t="shared" si="23"/>
        <v>61942.681926000005</v>
      </c>
      <c r="G27" s="72">
        <v>600</v>
      </c>
      <c r="H27" s="72">
        <v>3099</v>
      </c>
      <c r="I27" s="73">
        <f t="shared" si="24"/>
        <v>632695.52341652114</v>
      </c>
      <c r="J27" s="72">
        <f t="shared" si="25"/>
        <v>538704.82999999996</v>
      </c>
      <c r="K27" s="106">
        <f t="shared" si="26"/>
        <v>25368.998907334855</v>
      </c>
      <c r="L27" s="72">
        <f t="shared" si="27"/>
        <v>111395.78532</v>
      </c>
      <c r="M27" s="72">
        <v>600</v>
      </c>
      <c r="N27" s="72">
        <v>3099</v>
      </c>
      <c r="O27" s="73">
        <f t="shared" si="28"/>
        <v>679168.61422733485</v>
      </c>
      <c r="P27" s="74">
        <v>5935</v>
      </c>
      <c r="Q27" s="74">
        <v>4834</v>
      </c>
      <c r="R27" s="74">
        <v>2000</v>
      </c>
      <c r="S27" s="75">
        <f t="shared" si="37"/>
        <v>3925.2727437949998</v>
      </c>
      <c r="T27" s="75">
        <f t="shared" si="38"/>
        <v>3925.2727437949998</v>
      </c>
      <c r="U27" s="75">
        <f t="shared" si="39"/>
        <v>1026.609794531</v>
      </c>
      <c r="V27" s="75">
        <v>7999</v>
      </c>
      <c r="W27" s="73">
        <f t="shared" si="40"/>
        <v>658415.40595484711</v>
      </c>
      <c r="X27" s="84">
        <f t="shared" si="41"/>
        <v>704888.49676566082</v>
      </c>
      <c r="Y27" s="22">
        <f t="shared" si="31"/>
        <v>511769.58849999995</v>
      </c>
      <c r="Z27" s="32">
        <f t="shared" si="32"/>
        <v>3326.50232525</v>
      </c>
      <c r="AA27" s="32">
        <f t="shared" si="33"/>
        <v>598.77041854499998</v>
      </c>
      <c r="AB27" s="32">
        <f t="shared" si="34"/>
        <v>3925.2727437949998</v>
      </c>
      <c r="AD27" s="7">
        <f>AD13</f>
        <v>531942</v>
      </c>
      <c r="AE27" s="7">
        <v>18023</v>
      </c>
      <c r="AF27" s="7">
        <v>17905</v>
      </c>
      <c r="AG27" s="32">
        <f t="shared" si="35"/>
        <v>-6762.8299999999581</v>
      </c>
      <c r="AH27" s="32">
        <f t="shared" si="35"/>
        <v>-10326.011490521079</v>
      </c>
      <c r="AI27" s="32">
        <f t="shared" si="36"/>
        <v>-7463.9989073348552</v>
      </c>
    </row>
    <row r="28" spans="1:41" ht="15.75" thickBot="1">
      <c r="A28" s="182"/>
      <c r="B28" s="185" t="s">
        <v>134</v>
      </c>
      <c r="C28" s="71" t="s">
        <v>26</v>
      </c>
      <c r="D28" s="72">
        <v>546704.81000000006</v>
      </c>
      <c r="E28" s="72">
        <f t="shared" si="22"/>
        <v>28530.214409912656</v>
      </c>
      <c r="F28" s="72">
        <f t="shared" si="23"/>
        <v>62840.279682</v>
      </c>
      <c r="G28" s="72">
        <v>600</v>
      </c>
      <c r="H28" s="72">
        <v>3099</v>
      </c>
      <c r="I28" s="73">
        <f t="shared" si="24"/>
        <v>641774.30409191281</v>
      </c>
      <c r="J28" s="72">
        <f t="shared" si="25"/>
        <v>546704.81000000006</v>
      </c>
      <c r="K28" s="106">
        <f t="shared" si="26"/>
        <v>25545.375261192872</v>
      </c>
      <c r="L28" s="72">
        <f t="shared" si="27"/>
        <v>113027.78124000001</v>
      </c>
      <c r="M28" s="72">
        <v>600</v>
      </c>
      <c r="N28" s="72">
        <v>3099</v>
      </c>
      <c r="O28" s="73">
        <f t="shared" si="28"/>
        <v>688976.966501193</v>
      </c>
      <c r="P28" s="74">
        <v>5935</v>
      </c>
      <c r="Q28" s="74">
        <v>4834</v>
      </c>
      <c r="R28" s="74">
        <v>2000</v>
      </c>
      <c r="S28" s="75">
        <f t="shared" si="37"/>
        <v>3983.5645980650006</v>
      </c>
      <c r="T28" s="75">
        <f t="shared" si="38"/>
        <v>3983.5645980650006</v>
      </c>
      <c r="U28" s="75">
        <f t="shared" si="39"/>
        <v>1041.8553564170002</v>
      </c>
      <c r="V28" s="75">
        <v>7999</v>
      </c>
      <c r="W28" s="73">
        <f t="shared" si="40"/>
        <v>667567.72404639481</v>
      </c>
      <c r="X28" s="84">
        <f t="shared" si="41"/>
        <v>714770.386455675</v>
      </c>
      <c r="Y28" s="22"/>
      <c r="Z28" s="32"/>
      <c r="AA28" s="32"/>
      <c r="AB28" s="32"/>
      <c r="AD28" s="7"/>
      <c r="AE28" s="7"/>
      <c r="AF28" s="7"/>
      <c r="AG28" s="32"/>
      <c r="AH28" s="32"/>
      <c r="AI28" s="32"/>
    </row>
    <row r="29" spans="1:41" ht="15.75" thickBot="1">
      <c r="A29" s="182"/>
      <c r="B29" s="185"/>
      <c r="C29" s="71" t="s">
        <v>27</v>
      </c>
      <c r="D29" s="72">
        <v>550704.81999999995</v>
      </c>
      <c r="E29" s="72">
        <f t="shared" si="22"/>
        <v>28620.816322616873</v>
      </c>
      <c r="F29" s="72">
        <f t="shared" si="23"/>
        <v>63289.08080399999</v>
      </c>
      <c r="G29" s="72">
        <v>600</v>
      </c>
      <c r="H29" s="72">
        <v>3099</v>
      </c>
      <c r="I29" s="73">
        <f t="shared" si="24"/>
        <v>646313.71712661686</v>
      </c>
      <c r="J29" s="72">
        <f t="shared" si="25"/>
        <v>550704.81999999995</v>
      </c>
      <c r="K29" s="106">
        <f t="shared" si="26"/>
        <v>25633.56387906387</v>
      </c>
      <c r="L29" s="72">
        <f t="shared" si="27"/>
        <v>113843.78327999997</v>
      </c>
      <c r="M29" s="72">
        <v>600</v>
      </c>
      <c r="N29" s="72">
        <v>3099</v>
      </c>
      <c r="O29" s="73">
        <f t="shared" si="28"/>
        <v>693881.16715906374</v>
      </c>
      <c r="P29" s="74">
        <v>5935</v>
      </c>
      <c r="Q29" s="74">
        <v>4834</v>
      </c>
      <c r="R29" s="74">
        <v>2000</v>
      </c>
      <c r="S29" s="75">
        <f t="shared" si="37"/>
        <v>4012.7106709299997</v>
      </c>
      <c r="T29" s="75">
        <f t="shared" si="38"/>
        <v>4012.7106709299997</v>
      </c>
      <c r="U29" s="75">
        <f t="shared" si="39"/>
        <v>1049.4781754739997</v>
      </c>
      <c r="V29" s="75">
        <v>7999</v>
      </c>
      <c r="W29" s="73">
        <f t="shared" si="40"/>
        <v>672143.90597302082</v>
      </c>
      <c r="X29" s="84">
        <f t="shared" si="41"/>
        <v>719711.35600546771</v>
      </c>
      <c r="Y29" s="22"/>
      <c r="Z29" s="32"/>
      <c r="AA29" s="32"/>
      <c r="AB29" s="32"/>
      <c r="AD29" s="7"/>
      <c r="AE29" s="7"/>
      <c r="AF29" s="7"/>
      <c r="AG29" s="32"/>
      <c r="AH29" s="32"/>
      <c r="AI29" s="32"/>
    </row>
    <row r="30" spans="1:41" ht="15.75" thickBot="1">
      <c r="A30" s="182"/>
      <c r="B30" s="185" t="s">
        <v>29</v>
      </c>
      <c r="C30" s="71" t="s">
        <v>26</v>
      </c>
      <c r="D30" s="72">
        <v>609000.79</v>
      </c>
      <c r="E30" s="72">
        <f t="shared" si="22"/>
        <v>29941.244617783021</v>
      </c>
      <c r="F30" s="72">
        <f t="shared" si="23"/>
        <v>69829.888638000004</v>
      </c>
      <c r="G30" s="72">
        <v>600</v>
      </c>
      <c r="H30" s="72">
        <v>3099</v>
      </c>
      <c r="I30" s="73">
        <f t="shared" si="24"/>
        <v>712470.92325578304</v>
      </c>
      <c r="J30" s="72">
        <f t="shared" si="25"/>
        <v>609000.79</v>
      </c>
      <c r="K30" s="106">
        <f t="shared" si="26"/>
        <v>26918.820921358489</v>
      </c>
      <c r="L30" s="72">
        <f t="shared" si="27"/>
        <v>125736.16116000002</v>
      </c>
      <c r="M30" s="72">
        <v>600</v>
      </c>
      <c r="N30" s="72">
        <v>3099</v>
      </c>
      <c r="O30" s="73">
        <f t="shared" si="28"/>
        <v>765354.77208135859</v>
      </c>
      <c r="P30" s="74">
        <v>5935</v>
      </c>
      <c r="Q30" s="74">
        <v>4834</v>
      </c>
      <c r="R30" s="74">
        <v>2000</v>
      </c>
      <c r="S30" s="75">
        <f t="shared" si="37"/>
        <v>4437.4842563350003</v>
      </c>
      <c r="T30" s="75">
        <f t="shared" si="38"/>
        <v>4437.4842563350003</v>
      </c>
      <c r="U30" s="75">
        <f t="shared" si="39"/>
        <v>1160.5728055029999</v>
      </c>
      <c r="V30" s="75">
        <v>7999</v>
      </c>
      <c r="W30" s="73">
        <f t="shared" si="40"/>
        <v>738836.98031762103</v>
      </c>
      <c r="X30" s="84">
        <f t="shared" si="41"/>
        <v>791720.82914319658</v>
      </c>
      <c r="Y30" s="22">
        <f t="shared" si="31"/>
        <v>578550.75050000008</v>
      </c>
      <c r="Z30" s="32">
        <f t="shared" si="32"/>
        <v>3760.5798782500005</v>
      </c>
      <c r="AA30" s="32">
        <f t="shared" si="33"/>
        <v>676.90437808500008</v>
      </c>
      <c r="AB30" s="32">
        <f t="shared" si="34"/>
        <v>4437.4842563350003</v>
      </c>
      <c r="AD30" s="7">
        <f t="shared" ref="AD30:AD33" si="42">AD16</f>
        <v>602238</v>
      </c>
      <c r="AE30" s="7">
        <v>19818</v>
      </c>
      <c r="AF30" s="7">
        <v>19700</v>
      </c>
      <c r="AG30" s="32">
        <f t="shared" ref="AG30:AH33" si="43">AD30-D30</f>
        <v>-6762.7900000000373</v>
      </c>
      <c r="AH30" s="32">
        <f t="shared" si="43"/>
        <v>-10123.244617783021</v>
      </c>
      <c r="AI30" s="32">
        <f t="shared" si="36"/>
        <v>-7218.8209213584887</v>
      </c>
    </row>
    <row r="31" spans="1:41" ht="15.75" thickBot="1">
      <c r="A31" s="182"/>
      <c r="B31" s="185"/>
      <c r="C31" s="71" t="s">
        <v>27</v>
      </c>
      <c r="D31" s="72">
        <v>613000.78</v>
      </c>
      <c r="E31" s="72">
        <f t="shared" si="22"/>
        <v>30031.846077478804</v>
      </c>
      <c r="F31" s="72">
        <f t="shared" si="23"/>
        <v>70278.687516000005</v>
      </c>
      <c r="G31" s="72">
        <v>600</v>
      </c>
      <c r="H31" s="72">
        <v>3099</v>
      </c>
      <c r="I31" s="73">
        <f t="shared" si="24"/>
        <v>717010.31359347887</v>
      </c>
      <c r="J31" s="72">
        <f t="shared" si="25"/>
        <v>613000.78</v>
      </c>
      <c r="K31" s="106">
        <f t="shared" si="26"/>
        <v>27007.009098287497</v>
      </c>
      <c r="L31" s="72">
        <f t="shared" si="27"/>
        <v>126552.15912000001</v>
      </c>
      <c r="M31" s="72">
        <v>600</v>
      </c>
      <c r="N31" s="72">
        <v>3099</v>
      </c>
      <c r="O31" s="73">
        <f t="shared" si="28"/>
        <v>770258.94821828743</v>
      </c>
      <c r="P31" s="74">
        <v>5935</v>
      </c>
      <c r="Q31" s="74">
        <v>4834</v>
      </c>
      <c r="R31" s="74">
        <v>2000</v>
      </c>
      <c r="S31" s="75">
        <f t="shared" si="37"/>
        <v>4466.6301834700007</v>
      </c>
      <c r="T31" s="75">
        <f t="shared" si="38"/>
        <v>4466.6301834700007</v>
      </c>
      <c r="U31" s="75">
        <f t="shared" si="39"/>
        <v>1168.1955864460001</v>
      </c>
      <c r="V31" s="75">
        <v>7999</v>
      </c>
      <c r="W31" s="73">
        <f t="shared" si="40"/>
        <v>743413.13936339482</v>
      </c>
      <c r="X31" s="84">
        <f t="shared" si="41"/>
        <v>796661.77398820338</v>
      </c>
      <c r="Y31" s="22">
        <f t="shared" si="31"/>
        <v>582350.74100000004</v>
      </c>
      <c r="Z31" s="32">
        <f t="shared" si="32"/>
        <v>3785.2798165000004</v>
      </c>
      <c r="AA31" s="32">
        <f t="shared" si="33"/>
        <v>681.35036696999998</v>
      </c>
      <c r="AB31" s="32">
        <f t="shared" si="34"/>
        <v>4466.6301834700007</v>
      </c>
      <c r="AD31" s="7">
        <f t="shared" si="42"/>
        <v>606238</v>
      </c>
      <c r="AE31" s="7">
        <v>19920</v>
      </c>
      <c r="AF31" s="7">
        <v>19802</v>
      </c>
      <c r="AG31" s="32">
        <f t="shared" si="43"/>
        <v>-6762.7800000000279</v>
      </c>
      <c r="AH31" s="32">
        <f t="shared" si="43"/>
        <v>-10111.846077478804</v>
      </c>
      <c r="AI31" s="32">
        <f t="shared" si="36"/>
        <v>-7205.0090982874972</v>
      </c>
    </row>
    <row r="32" spans="1:41" ht="15.75" thickBot="1">
      <c r="A32" s="182"/>
      <c r="B32" s="185" t="s">
        <v>30</v>
      </c>
      <c r="C32" s="71" t="s">
        <v>26</v>
      </c>
      <c r="D32" s="72">
        <v>694875.77</v>
      </c>
      <c r="E32" s="72">
        <f t="shared" si="22"/>
        <v>31886.349115380839</v>
      </c>
      <c r="F32" s="72">
        <f t="shared" si="23"/>
        <v>79465.061394000004</v>
      </c>
      <c r="G32" s="72">
        <v>600</v>
      </c>
      <c r="H32" s="72">
        <v>3099</v>
      </c>
      <c r="I32" s="73">
        <f t="shared" si="24"/>
        <v>809926.18050938076</v>
      </c>
      <c r="J32" s="72">
        <f t="shared" si="25"/>
        <v>694875.77</v>
      </c>
      <c r="K32" s="106">
        <f t="shared" si="26"/>
        <v>28812.11513709775</v>
      </c>
      <c r="L32" s="72">
        <f t="shared" si="27"/>
        <v>143254.65708</v>
      </c>
      <c r="M32" s="72">
        <v>600</v>
      </c>
      <c r="N32" s="72">
        <v>3099</v>
      </c>
      <c r="O32" s="73">
        <f t="shared" si="28"/>
        <v>870641.54221709783</v>
      </c>
      <c r="P32" s="74">
        <v>5935</v>
      </c>
      <c r="Q32" s="74">
        <v>4834</v>
      </c>
      <c r="R32" s="74">
        <v>2000</v>
      </c>
      <c r="S32" s="75">
        <f t="shared" si="37"/>
        <v>5063.2122981050006</v>
      </c>
      <c r="T32" s="75">
        <f t="shared" si="38"/>
        <v>5063.2122981050006</v>
      </c>
      <c r="U32" s="75">
        <f t="shared" si="39"/>
        <v>1324.224754889</v>
      </c>
      <c r="V32" s="75">
        <v>7999</v>
      </c>
      <c r="W32" s="73">
        <f t="shared" si="40"/>
        <v>837081.6175623748</v>
      </c>
      <c r="X32" s="84">
        <f t="shared" si="41"/>
        <v>897796.97927009186</v>
      </c>
      <c r="Y32" s="22">
        <f t="shared" si="31"/>
        <v>660131.98149999999</v>
      </c>
      <c r="Z32" s="32">
        <f t="shared" si="32"/>
        <v>4290.8578797499995</v>
      </c>
      <c r="AA32" s="32">
        <f t="shared" si="33"/>
        <v>772.35441835499989</v>
      </c>
      <c r="AB32" s="32">
        <f t="shared" si="34"/>
        <v>5063.2122981049997</v>
      </c>
      <c r="AD32" s="7">
        <f t="shared" si="42"/>
        <v>688113</v>
      </c>
      <c r="AE32" s="9">
        <v>22011</v>
      </c>
      <c r="AF32" s="9">
        <v>21893</v>
      </c>
      <c r="AG32" s="32">
        <f t="shared" si="43"/>
        <v>-6762.7700000000186</v>
      </c>
      <c r="AH32" s="32">
        <f t="shared" si="43"/>
        <v>-9875.3491153808391</v>
      </c>
      <c r="AI32" s="32">
        <f t="shared" si="36"/>
        <v>-6919.1151370977495</v>
      </c>
    </row>
    <row r="33" spans="1:35" ht="15.75" thickBot="1">
      <c r="A33" s="183"/>
      <c r="B33" s="186"/>
      <c r="C33" s="85" t="s">
        <v>27</v>
      </c>
      <c r="D33" s="86">
        <v>698875.75</v>
      </c>
      <c r="E33" s="86">
        <f t="shared" si="22"/>
        <v>31976.950348572409</v>
      </c>
      <c r="F33" s="86">
        <f t="shared" si="23"/>
        <v>79913.859150000004</v>
      </c>
      <c r="G33" s="86">
        <v>600</v>
      </c>
      <c r="H33" s="86">
        <v>3099</v>
      </c>
      <c r="I33" s="88">
        <f t="shared" si="24"/>
        <v>814465.55949857249</v>
      </c>
      <c r="J33" s="86">
        <f t="shared" si="25"/>
        <v>698875.75</v>
      </c>
      <c r="K33" s="107">
        <f t="shared" si="26"/>
        <v>28900.303093555762</v>
      </c>
      <c r="L33" s="86">
        <f t="shared" si="27"/>
        <v>144070.65299999999</v>
      </c>
      <c r="M33" s="86">
        <v>600</v>
      </c>
      <c r="N33" s="86">
        <v>3099</v>
      </c>
      <c r="O33" s="88">
        <f t="shared" si="28"/>
        <v>875545.70609355578</v>
      </c>
      <c r="P33" s="87">
        <v>5935</v>
      </c>
      <c r="Q33" s="87">
        <v>4834</v>
      </c>
      <c r="R33" s="87">
        <v>2000</v>
      </c>
      <c r="S33" s="89">
        <f t="shared" si="37"/>
        <v>5092.3581523749999</v>
      </c>
      <c r="T33" s="89">
        <f t="shared" si="38"/>
        <v>5092.3581523749999</v>
      </c>
      <c r="U33" s="89">
        <f t="shared" si="39"/>
        <v>1331.847516775</v>
      </c>
      <c r="V33" s="90">
        <v>7999</v>
      </c>
      <c r="W33" s="88">
        <f t="shared" si="40"/>
        <v>841657.76516772248</v>
      </c>
      <c r="X33" s="101">
        <f t="shared" si="41"/>
        <v>902737.91176270577</v>
      </c>
      <c r="Y33" s="22">
        <f t="shared" si="31"/>
        <v>663931.96250000002</v>
      </c>
      <c r="Z33" s="32">
        <f t="shared" si="32"/>
        <v>4315.5577562500002</v>
      </c>
      <c r="AA33" s="32">
        <f t="shared" si="33"/>
        <v>776.80039612500002</v>
      </c>
      <c r="AB33" s="32">
        <f t="shared" si="34"/>
        <v>5092.3581523749999</v>
      </c>
      <c r="AD33" s="10">
        <f t="shared" si="42"/>
        <v>692113</v>
      </c>
      <c r="AE33" s="11">
        <v>22113</v>
      </c>
      <c r="AF33" s="11">
        <v>21995</v>
      </c>
      <c r="AG33" s="32">
        <f t="shared" si="43"/>
        <v>-6762.75</v>
      </c>
      <c r="AH33" s="32">
        <f t="shared" si="43"/>
        <v>-9863.950348572409</v>
      </c>
      <c r="AI33" s="32">
        <f t="shared" si="36"/>
        <v>-6905.3030935557617</v>
      </c>
    </row>
    <row r="35" spans="1:35" s="44" customFormat="1" ht="18.75">
      <c r="A35" s="63" t="s">
        <v>131</v>
      </c>
      <c r="B35" s="53"/>
      <c r="C35" s="52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5"/>
      <c r="T35" s="55"/>
      <c r="U35" s="55"/>
    </row>
    <row r="36" spans="1:35" s="44" customFormat="1" ht="17.25">
      <c r="A36" s="52"/>
      <c r="B36" s="53"/>
      <c r="C36" s="52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  <c r="T36" s="55"/>
      <c r="U36" s="55"/>
    </row>
    <row r="37" spans="1:35" s="44" customFormat="1" ht="17.25">
      <c r="A37" s="56" t="s">
        <v>32</v>
      </c>
      <c r="B37" s="53"/>
      <c r="C37" s="52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  <c r="T37" s="55"/>
      <c r="U37" s="55"/>
    </row>
    <row r="38" spans="1:35" s="44" customFormat="1">
      <c r="A38" s="47" t="s">
        <v>33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  <c r="T38" s="49"/>
      <c r="U38" s="49"/>
    </row>
    <row r="39" spans="1:35" s="44" customFormat="1">
      <c r="A39" s="47" t="s">
        <v>34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  <c r="T39" s="49"/>
      <c r="U39" s="49"/>
    </row>
    <row r="40" spans="1:35" s="44" customFormat="1">
      <c r="A40" s="47"/>
      <c r="B40" s="49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7"/>
    </row>
    <row r="41" spans="1:35" s="44" customFormat="1">
      <c r="A41" s="58" t="s">
        <v>35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5"/>
    </row>
    <row r="42" spans="1:35" s="44" customFormat="1">
      <c r="A42" s="48" t="s">
        <v>36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0"/>
      <c r="T42" s="49"/>
      <c r="U42" s="49"/>
      <c r="W42" s="51"/>
      <c r="X42" s="51"/>
      <c r="Y42" s="51"/>
      <c r="Z42" s="51"/>
    </row>
    <row r="43" spans="1:35" s="44" customFormat="1">
      <c r="A43" s="52" t="s">
        <v>37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1"/>
      <c r="Y43" s="51"/>
      <c r="Z43" s="51"/>
    </row>
    <row r="44" spans="1:35" s="44" customFormat="1">
      <c r="A44" s="52" t="s">
        <v>38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51"/>
      <c r="Y44" s="51"/>
      <c r="Z44" s="51"/>
    </row>
    <row r="45" spans="1:35" s="44" customFormat="1">
      <c r="A45" s="62" t="s">
        <v>127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51"/>
      <c r="Y45" s="51"/>
      <c r="Z45" s="51"/>
    </row>
    <row r="46" spans="1:35" s="44" customFormat="1">
      <c r="A46" s="125" t="s">
        <v>164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124"/>
      <c r="Y46" s="51"/>
      <c r="Z46" s="51"/>
    </row>
    <row r="47" spans="1:35" s="44" customFormat="1">
      <c r="A47" s="62" t="s">
        <v>159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51"/>
      <c r="Y47" s="51"/>
      <c r="Z47" s="51"/>
    </row>
    <row r="48" spans="1:35" s="44" customFormat="1">
      <c r="A48" s="48" t="s">
        <v>160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51"/>
      <c r="Y48" s="51"/>
      <c r="Z48" s="51"/>
    </row>
    <row r="49" spans="1:26" s="44" customFormat="1">
      <c r="A49" s="48" t="s">
        <v>161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51"/>
      <c r="Y49" s="51"/>
      <c r="Z49" s="51"/>
    </row>
    <row r="50" spans="1:26" s="44" customFormat="1" ht="26.25" customHeight="1">
      <c r="A50" s="181" t="s">
        <v>173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</row>
    <row r="51" spans="1:26" s="44" customFormat="1">
      <c r="A51" s="48" t="s">
        <v>174</v>
      </c>
    </row>
    <row r="52" spans="1:26" s="44" customFormat="1">
      <c r="A52" s="48" t="s">
        <v>172</v>
      </c>
    </row>
    <row r="53" spans="1:26" s="44" customFormat="1"/>
    <row r="54" spans="1:26" s="44" customFormat="1"/>
  </sheetData>
  <sheetProtection selectLockedCells="1" selectUnlockedCells="1"/>
  <mergeCells count="33">
    <mergeCell ref="A1:X1"/>
    <mergeCell ref="A2:X2"/>
    <mergeCell ref="A3:X3"/>
    <mergeCell ref="A4:X4"/>
    <mergeCell ref="A5:X5"/>
    <mergeCell ref="A6:X6"/>
    <mergeCell ref="A7:X7"/>
    <mergeCell ref="A8:A9"/>
    <mergeCell ref="B8:C9"/>
    <mergeCell ref="D8:I8"/>
    <mergeCell ref="J8:O8"/>
    <mergeCell ref="P8:V8"/>
    <mergeCell ref="W8:X8"/>
    <mergeCell ref="A10:A19"/>
    <mergeCell ref="B10:B11"/>
    <mergeCell ref="B12:B13"/>
    <mergeCell ref="B16:B17"/>
    <mergeCell ref="B18:B19"/>
    <mergeCell ref="B14:B15"/>
    <mergeCell ref="A21:X21"/>
    <mergeCell ref="A22:A23"/>
    <mergeCell ref="B22:C23"/>
    <mergeCell ref="D22:I22"/>
    <mergeCell ref="J22:O22"/>
    <mergeCell ref="P22:V22"/>
    <mergeCell ref="W22:X22"/>
    <mergeCell ref="A50:Z50"/>
    <mergeCell ref="A24:A33"/>
    <mergeCell ref="B24:B25"/>
    <mergeCell ref="B26:B27"/>
    <mergeCell ref="B30:B31"/>
    <mergeCell ref="B32:B33"/>
    <mergeCell ref="B28:B29"/>
  </mergeCells>
  <pageMargins left="0.27559055118110237" right="0.23622047244094491" top="0.39370078740157483" bottom="0.35433070866141736" header="0.51181102362204722" footer="0.51181102362204722"/>
  <pageSetup scale="56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0"/>
  <sheetViews>
    <sheetView topLeftCell="A73" workbookViewId="0">
      <selection activeCell="J101" sqref="J101"/>
    </sheetView>
  </sheetViews>
  <sheetFormatPr defaultColWidth="11.7109375" defaultRowHeight="15"/>
  <cols>
    <col min="1" max="1" width="4.140625" style="31" customWidth="1"/>
    <col min="2" max="2" width="13.85546875" style="31" customWidth="1"/>
    <col min="3" max="3" width="8.85546875" style="31" customWidth="1"/>
    <col min="4" max="4" width="8.42578125" style="31" bestFit="1" customWidth="1"/>
    <col min="5" max="5" width="11.42578125" style="31" bestFit="1" customWidth="1"/>
    <col min="6" max="6" width="8.140625" style="31" customWidth="1"/>
    <col min="7" max="7" width="6.5703125" style="31" customWidth="1"/>
    <col min="8" max="8" width="7.42578125" style="31" bestFit="1" customWidth="1"/>
    <col min="9" max="9" width="8.28515625" style="31" customWidth="1"/>
    <col min="10" max="10" width="8.42578125" style="31" bestFit="1" customWidth="1"/>
    <col min="11" max="11" width="11.42578125" style="31" bestFit="1" customWidth="1"/>
    <col min="12" max="12" width="8.42578125" style="31" customWidth="1"/>
    <col min="13" max="13" width="5.5703125" style="31" bestFit="1" customWidth="1"/>
    <col min="14" max="14" width="7.42578125" style="31" bestFit="1" customWidth="1"/>
    <col min="15" max="15" width="8.85546875" style="31" customWidth="1"/>
    <col min="16" max="16" width="12.5703125" style="31" bestFit="1" customWidth="1"/>
    <col min="17" max="17" width="9.5703125" style="31" bestFit="1" customWidth="1"/>
    <col min="18" max="18" width="6.5703125" style="31" bestFit="1" customWidth="1"/>
    <col min="19" max="19" width="7.42578125" style="31" bestFit="1" customWidth="1"/>
    <col min="20" max="20" width="7.85546875" style="31" bestFit="1" customWidth="1"/>
    <col min="21" max="21" width="7.85546875" style="31" customWidth="1"/>
    <col min="22" max="22" width="6.42578125" style="31" bestFit="1" customWidth="1"/>
    <col min="23" max="23" width="10.42578125" style="31" bestFit="1" customWidth="1"/>
    <col min="24" max="24" width="10.7109375" style="31" bestFit="1" customWidth="1"/>
    <col min="25" max="29" width="11.7109375" style="31" hidden="1" customWidth="1"/>
    <col min="30" max="45" width="0" style="31" hidden="1" customWidth="1"/>
    <col min="46" max="16384" width="11.7109375" style="31"/>
  </cols>
  <sheetData>
    <row r="1" spans="1:45" ht="46.5">
      <c r="A1" s="210" t="s">
        <v>104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2"/>
    </row>
    <row r="2" spans="1:45" ht="28.5">
      <c r="A2" s="213" t="s">
        <v>114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5"/>
    </row>
    <row r="3" spans="1:45" ht="28.5">
      <c r="A3" s="213" t="s">
        <v>105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5"/>
    </row>
    <row r="4" spans="1:45" ht="28.5">
      <c r="A4" s="213" t="s">
        <v>106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5"/>
    </row>
    <row r="5" spans="1:45" ht="20.25" customHeight="1">
      <c r="A5" s="216" t="s">
        <v>108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8"/>
    </row>
    <row r="6" spans="1:45" ht="19.5" thickBot="1">
      <c r="A6" s="198" t="s">
        <v>167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200"/>
    </row>
    <row r="7" spans="1:45" ht="15.75" thickBot="1">
      <c r="A7" s="188" t="s">
        <v>103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45" ht="12.75" customHeight="1" thickBot="1">
      <c r="A8" s="225" t="s">
        <v>4</v>
      </c>
      <c r="B8" s="191" t="s">
        <v>5</v>
      </c>
      <c r="C8" s="191"/>
      <c r="D8" s="193" t="s">
        <v>6</v>
      </c>
      <c r="E8" s="193"/>
      <c r="F8" s="193"/>
      <c r="G8" s="193"/>
      <c r="H8" s="193"/>
      <c r="I8" s="193"/>
      <c r="J8" s="194" t="s">
        <v>7</v>
      </c>
      <c r="K8" s="194"/>
      <c r="L8" s="194"/>
      <c r="M8" s="194"/>
      <c r="N8" s="194"/>
      <c r="O8" s="194"/>
      <c r="P8" s="195" t="s">
        <v>8</v>
      </c>
      <c r="Q8" s="195"/>
      <c r="R8" s="195"/>
      <c r="S8" s="195"/>
      <c r="T8" s="195"/>
      <c r="U8" s="195"/>
      <c r="V8" s="195"/>
      <c r="W8" s="227" t="s">
        <v>9</v>
      </c>
      <c r="X8" s="227"/>
    </row>
    <row r="9" spans="1:45" ht="64.5" thickBot="1">
      <c r="A9" s="226"/>
      <c r="B9" s="192"/>
      <c r="C9" s="192"/>
      <c r="D9" s="3" t="s">
        <v>10</v>
      </c>
      <c r="E9" s="3" t="s">
        <v>11</v>
      </c>
      <c r="F9" s="4" t="s">
        <v>12</v>
      </c>
      <c r="G9" s="4" t="s">
        <v>133</v>
      </c>
      <c r="H9" s="4" t="s">
        <v>13</v>
      </c>
      <c r="I9" s="4" t="s">
        <v>14</v>
      </c>
      <c r="J9" s="3" t="s">
        <v>10</v>
      </c>
      <c r="K9" s="3" t="s">
        <v>15</v>
      </c>
      <c r="L9" s="4" t="s">
        <v>12</v>
      </c>
      <c r="M9" s="4" t="s">
        <v>133</v>
      </c>
      <c r="N9" s="4" t="s">
        <v>13</v>
      </c>
      <c r="O9" s="4" t="s">
        <v>14</v>
      </c>
      <c r="P9" s="5" t="s">
        <v>16</v>
      </c>
      <c r="Q9" s="13" t="s">
        <v>17</v>
      </c>
      <c r="R9" s="5" t="s">
        <v>18</v>
      </c>
      <c r="S9" s="5" t="s">
        <v>19</v>
      </c>
      <c r="T9" s="5" t="s">
        <v>20</v>
      </c>
      <c r="U9" s="5" t="s">
        <v>139</v>
      </c>
      <c r="V9" s="5" t="s">
        <v>21</v>
      </c>
      <c r="W9" s="5" t="s">
        <v>22</v>
      </c>
      <c r="X9" s="5" t="s">
        <v>23</v>
      </c>
    </row>
    <row r="10" spans="1:45" ht="15.75" thickBot="1">
      <c r="A10" s="222" t="s">
        <v>43</v>
      </c>
      <c r="B10" s="184" t="s">
        <v>44</v>
      </c>
      <c r="C10" s="78" t="s">
        <v>26</v>
      </c>
      <c r="D10" s="79">
        <v>606432.79</v>
      </c>
      <c r="E10" s="105">
        <f>((D10*95%*3.283%)-((D10*95%*3.283%)*40%)+13434)+((D10*95%*3.283%)-((D10*95%*3.283%)*40%)+13434)*18%+(D10*95%*0.1%+250)+(D10*95%*0.1%+250)*18%-IF((((D10*95%*3.283%)-((D10*95%*3.283%)*40%))*2.5%)&gt;500,500,(((D10*95%*3.283%)-((D10*95%*3.283%)*40%))*2.5%))-IF((((D10*95%*3.283%)-((D10*95%*3.283%)*40%))*2.5%)&gt;500,500,(((D10*95%*3.283%)-((D10*95%*3.283%)*40%))*2.5%))*18%</f>
        <v>29883.078335242622</v>
      </c>
      <c r="F10" s="79">
        <f t="shared" ref="F10:F27" si="0">(D10*11/100)+(D10*11/100)*2/100+1500</f>
        <v>69541.759038000004</v>
      </c>
      <c r="G10" s="79">
        <v>600</v>
      </c>
      <c r="H10" s="79">
        <v>3199</v>
      </c>
      <c r="I10" s="80">
        <f>D10+E10+F10+H10+G10</f>
        <v>709656.62737324263</v>
      </c>
      <c r="J10" s="79">
        <f t="shared" ref="J10:J27" si="1">D10</f>
        <v>606432.79</v>
      </c>
      <c r="K10" s="105">
        <f t="shared" ref="K10:K27" si="2">((J10*95%*3.283%)-((J10*95%*3.283%)*40%)+11184)+((J10*95%*3.283%)-((J10*95%*3.283%)*40%)+11184)*18%+(J10*95%*0.1%+250)+(J10*95%*0.1%+250)*18%-IF((((J10*95%*3.283%)-((J10*95%*3.283%)*40%))*2.5%)&gt;500,500,(((J10*95%*3.283%)-((J10*95%*3.283%)*40%))*2.5%))-IF((((J10*95%*3.283%)-((J10*95%*3.283%)*40%))*2.5%)&gt;500,500,(((J10*95%*3.283%)-((J10*95%*3.283%)*40%))*2.5%))*18%</f>
        <v>27228.078335242622</v>
      </c>
      <c r="L10" s="82">
        <f t="shared" ref="L10:L27" si="3">(J10*20/100)+(J10*20/100)*2/100+1500</f>
        <v>125212.28916</v>
      </c>
      <c r="M10" s="82">
        <v>600</v>
      </c>
      <c r="N10" s="79">
        <v>3199</v>
      </c>
      <c r="O10" s="80">
        <f>J10+K10+L10+N10+M10</f>
        <v>762672.15749524266</v>
      </c>
      <c r="P10" s="82">
        <v>7458</v>
      </c>
      <c r="Q10" s="82">
        <v>4834</v>
      </c>
      <c r="R10" s="82">
        <v>7000</v>
      </c>
      <c r="S10" s="82">
        <f t="shared" ref="S10:S27" si="4">AB10</f>
        <v>4418.7725243350005</v>
      </c>
      <c r="T10" s="82">
        <f t="shared" ref="T10:T27" si="5">AB10</f>
        <v>4418.7725243350005</v>
      </c>
      <c r="U10" s="82">
        <f>((D10*95%)*0.17%)*1.18</f>
        <v>1155.6789679029998</v>
      </c>
      <c r="V10" s="82">
        <v>7999</v>
      </c>
      <c r="W10" s="80">
        <f>I10+P10+Q10+S10+V10+R10+U10</f>
        <v>742522.07886548061</v>
      </c>
      <c r="X10" s="83">
        <f>O10+P10+Q10+T10+V10+R10+U10</f>
        <v>795537.60898748063</v>
      </c>
      <c r="Y10" s="32">
        <f t="shared" ref="Y10:Y27" si="6">D10*95/100</f>
        <v>576111.15049999999</v>
      </c>
      <c r="Z10" s="32">
        <f t="shared" ref="Z10:Z27" si="7">Y10*0.65/100</f>
        <v>3744.7224782500002</v>
      </c>
      <c r="AA10" s="32">
        <f t="shared" ref="AA10:AA27" si="8">Z10*18/100</f>
        <v>674.05004608500008</v>
      </c>
      <c r="AB10" s="32">
        <f t="shared" ref="AB10:AB27" si="9">Z10+AA10</f>
        <v>4418.7725243350005</v>
      </c>
      <c r="AP10" s="31">
        <v>730819</v>
      </c>
      <c r="AQ10" s="31">
        <v>786374</v>
      </c>
      <c r="AR10" s="32">
        <f>+AP10-W10</f>
        <v>-11703.078865480609</v>
      </c>
      <c r="AS10" s="32">
        <f>+AQ10-X10</f>
        <v>-9163.6089874806348</v>
      </c>
    </row>
    <row r="11" spans="1:45" ht="15.75" thickBot="1">
      <c r="A11" s="223"/>
      <c r="B11" s="185"/>
      <c r="C11" s="71" t="s">
        <v>27</v>
      </c>
      <c r="D11" s="72">
        <v>610432.80000000005</v>
      </c>
      <c r="E11" s="105">
        <f t="shared" ref="E11:E26" si="10">((D11*95%*3.283%)-((D11*95%*3.283%)*40%)+13434)+((D11*95%*3.283%)-((D11*95%*3.283%)*40%)+13434)*18%+(D11*95%*0.1%+250)+(D11*95%*0.1%+250)*18%-IF((((D11*95%*3.283%)-((D11*95%*3.283%)*40%))*2.5%)&gt;500,500,(((D11*95%*3.283%)-((D11*95%*3.283%)*40%))*2.5%))-IF((((D11*95%*3.283%)-((D11*95%*3.283%)*40%))*2.5%)&gt;500,500,(((D11*95%*3.283%)-((D11*95%*3.283%)*40%))*2.5%))*18%</f>
        <v>29973.680247946835</v>
      </c>
      <c r="F11" s="72">
        <f t="shared" si="0"/>
        <v>69990.560160000008</v>
      </c>
      <c r="G11" s="72">
        <v>600</v>
      </c>
      <c r="H11" s="72">
        <v>3199</v>
      </c>
      <c r="I11" s="73">
        <f t="shared" ref="I11:I27" si="11">D11+E11+F11+H11+G11</f>
        <v>714196.04040794692</v>
      </c>
      <c r="J11" s="72">
        <f t="shared" si="1"/>
        <v>610432.80000000005</v>
      </c>
      <c r="K11" s="106">
        <f t="shared" si="2"/>
        <v>27318.680247946839</v>
      </c>
      <c r="L11" s="75">
        <f t="shared" si="3"/>
        <v>126028.29119999999</v>
      </c>
      <c r="M11" s="75">
        <v>600</v>
      </c>
      <c r="N11" s="72">
        <v>3199</v>
      </c>
      <c r="O11" s="73">
        <f t="shared" ref="O11:O27" si="12">J11+K11+L11+N11+M11</f>
        <v>767578.7714479469</v>
      </c>
      <c r="P11" s="75">
        <v>7458</v>
      </c>
      <c r="Q11" s="75">
        <v>4834</v>
      </c>
      <c r="R11" s="75">
        <v>7000</v>
      </c>
      <c r="S11" s="75">
        <f t="shared" si="4"/>
        <v>4447.9185972000005</v>
      </c>
      <c r="T11" s="75">
        <f t="shared" si="5"/>
        <v>4447.9185972000005</v>
      </c>
      <c r="U11" s="75">
        <f t="shared" ref="U11:U40" si="13">((D11*95%)*0.17%)*1.18</f>
        <v>1163.3017869600001</v>
      </c>
      <c r="V11" s="75">
        <v>7999</v>
      </c>
      <c r="W11" s="73">
        <f t="shared" ref="W11:W27" si="14">I11+P11+Q11+S11+V11+R11+U11</f>
        <v>747098.26079210686</v>
      </c>
      <c r="X11" s="84">
        <f t="shared" ref="X11:X27" si="15">O11+P11+Q11+T11+V11+R11+U11</f>
        <v>800480.99183210684</v>
      </c>
      <c r="Y11" s="32">
        <f t="shared" si="6"/>
        <v>579911.16</v>
      </c>
      <c r="Z11" s="32">
        <f t="shared" si="7"/>
        <v>3769.42254</v>
      </c>
      <c r="AA11" s="32">
        <f t="shared" si="8"/>
        <v>678.49605720000011</v>
      </c>
      <c r="AB11" s="32">
        <f t="shared" si="9"/>
        <v>4447.9185972000005</v>
      </c>
      <c r="AP11" s="31">
        <v>735394</v>
      </c>
      <c r="AQ11" s="31">
        <v>791317</v>
      </c>
      <c r="AR11" s="32">
        <f t="shared" ref="AR11:AR27" si="16">+AP11-W11</f>
        <v>-11704.260792106856</v>
      </c>
      <c r="AS11" s="32">
        <f t="shared" ref="AS11:AS27" si="17">+AQ11-X11</f>
        <v>-9163.9918321068399</v>
      </c>
    </row>
    <row r="12" spans="1:45" ht="15.75" thickBot="1">
      <c r="A12" s="223"/>
      <c r="B12" s="185" t="s">
        <v>45</v>
      </c>
      <c r="C12" s="71" t="s">
        <v>26</v>
      </c>
      <c r="D12" s="72">
        <v>671033.77</v>
      </c>
      <c r="E12" s="105">
        <f t="shared" si="10"/>
        <v>31346.317764785734</v>
      </c>
      <c r="F12" s="72">
        <f t="shared" si="0"/>
        <v>76789.988994000014</v>
      </c>
      <c r="G12" s="72">
        <v>600</v>
      </c>
      <c r="H12" s="72">
        <v>3199</v>
      </c>
      <c r="I12" s="73">
        <f t="shared" si="11"/>
        <v>782969.07675878576</v>
      </c>
      <c r="J12" s="72">
        <f t="shared" si="1"/>
        <v>671033.77</v>
      </c>
      <c r="K12" s="106">
        <f t="shared" si="2"/>
        <v>28691.317764785734</v>
      </c>
      <c r="L12" s="75">
        <f t="shared" si="3"/>
        <v>138390.88908000002</v>
      </c>
      <c r="M12" s="75">
        <v>600</v>
      </c>
      <c r="N12" s="72">
        <v>3199</v>
      </c>
      <c r="O12" s="73">
        <f t="shared" si="12"/>
        <v>841914.97684478574</v>
      </c>
      <c r="P12" s="75">
        <v>7458</v>
      </c>
      <c r="Q12" s="75">
        <v>4834</v>
      </c>
      <c r="R12" s="75">
        <v>7000</v>
      </c>
      <c r="S12" s="75">
        <f t="shared" si="4"/>
        <v>4889.4875651049997</v>
      </c>
      <c r="T12" s="75">
        <f t="shared" si="5"/>
        <v>4889.4875651049997</v>
      </c>
      <c r="U12" s="75">
        <f t="shared" si="13"/>
        <v>1278.7890554889998</v>
      </c>
      <c r="V12" s="75">
        <v>7999</v>
      </c>
      <c r="W12" s="73">
        <f t="shared" si="14"/>
        <v>816428.35337937973</v>
      </c>
      <c r="X12" s="84">
        <f t="shared" si="15"/>
        <v>875374.2534653797</v>
      </c>
      <c r="Y12" s="32">
        <f t="shared" si="6"/>
        <v>637482.08149999997</v>
      </c>
      <c r="Z12" s="32">
        <f t="shared" si="7"/>
        <v>4143.63352975</v>
      </c>
      <c r="AA12" s="32">
        <f t="shared" si="8"/>
        <v>745.85403535499995</v>
      </c>
      <c r="AB12" s="32">
        <f t="shared" si="9"/>
        <v>4889.4875651049997</v>
      </c>
      <c r="AP12" s="31">
        <v>804723</v>
      </c>
      <c r="AQ12" s="31">
        <v>866209</v>
      </c>
      <c r="AR12" s="32">
        <f t="shared" si="16"/>
        <v>-11705.353379379725</v>
      </c>
      <c r="AS12" s="32">
        <f t="shared" si="17"/>
        <v>-9165.2534653797047</v>
      </c>
    </row>
    <row r="13" spans="1:45" ht="15.75" thickBot="1">
      <c r="A13" s="223"/>
      <c r="B13" s="185"/>
      <c r="C13" s="71" t="s">
        <v>27</v>
      </c>
      <c r="D13" s="72">
        <v>675033.77</v>
      </c>
      <c r="E13" s="105">
        <f t="shared" si="10"/>
        <v>31436.919450985741</v>
      </c>
      <c r="F13" s="72">
        <f t="shared" si="0"/>
        <v>77238.788994000017</v>
      </c>
      <c r="G13" s="72">
        <v>600</v>
      </c>
      <c r="H13" s="72">
        <v>3199</v>
      </c>
      <c r="I13" s="73">
        <f t="shared" si="11"/>
        <v>787508.47844498581</v>
      </c>
      <c r="J13" s="72">
        <f t="shared" si="1"/>
        <v>675033.77</v>
      </c>
      <c r="K13" s="106">
        <f t="shared" si="2"/>
        <v>28781.919450985741</v>
      </c>
      <c r="L13" s="75">
        <f t="shared" si="3"/>
        <v>139206.88908000002</v>
      </c>
      <c r="M13" s="75">
        <v>600</v>
      </c>
      <c r="N13" s="72">
        <v>3199</v>
      </c>
      <c r="O13" s="73">
        <f t="shared" si="12"/>
        <v>846821.57853098575</v>
      </c>
      <c r="P13" s="75">
        <v>7458</v>
      </c>
      <c r="Q13" s="75">
        <v>4834</v>
      </c>
      <c r="R13" s="75">
        <v>7000</v>
      </c>
      <c r="S13" s="75">
        <f t="shared" si="4"/>
        <v>4918.6335651049994</v>
      </c>
      <c r="T13" s="75">
        <f t="shared" si="5"/>
        <v>4918.6335651049994</v>
      </c>
      <c r="U13" s="75">
        <f t="shared" si="13"/>
        <v>1286.4118554889999</v>
      </c>
      <c r="V13" s="75">
        <v>7999</v>
      </c>
      <c r="W13" s="73">
        <f t="shared" si="14"/>
        <v>821004.52386557986</v>
      </c>
      <c r="X13" s="84">
        <f t="shared" si="15"/>
        <v>880317.62395157979</v>
      </c>
      <c r="Y13" s="32">
        <f t="shared" si="6"/>
        <v>641282.08149999997</v>
      </c>
      <c r="Z13" s="32">
        <f t="shared" si="7"/>
        <v>4168.3335297499998</v>
      </c>
      <c r="AA13" s="32">
        <f t="shared" si="8"/>
        <v>750.30003535499998</v>
      </c>
      <c r="AB13" s="32">
        <f t="shared" si="9"/>
        <v>4918.6335651049994</v>
      </c>
      <c r="AP13" s="31">
        <v>809301</v>
      </c>
      <c r="AQ13" s="31">
        <v>871154</v>
      </c>
      <c r="AR13" s="32">
        <f t="shared" si="16"/>
        <v>-11703.52386557986</v>
      </c>
      <c r="AS13" s="32">
        <f t="shared" si="17"/>
        <v>-9163.6239515797934</v>
      </c>
    </row>
    <row r="14" spans="1:45" ht="15.75" thickBot="1">
      <c r="A14" s="223"/>
      <c r="B14" s="185" t="s">
        <v>46</v>
      </c>
      <c r="C14" s="71" t="s">
        <v>26</v>
      </c>
      <c r="D14" s="72">
        <v>715005.77</v>
      </c>
      <c r="E14" s="105">
        <f t="shared" si="10"/>
        <v>32342.30210118234</v>
      </c>
      <c r="F14" s="72">
        <f t="shared" si="0"/>
        <v>81723.647394000014</v>
      </c>
      <c r="G14" s="72">
        <v>600</v>
      </c>
      <c r="H14" s="72">
        <v>3199</v>
      </c>
      <c r="I14" s="73">
        <f t="shared" si="11"/>
        <v>832870.71949518227</v>
      </c>
      <c r="J14" s="72">
        <f t="shared" si="1"/>
        <v>715005.77</v>
      </c>
      <c r="K14" s="106">
        <f t="shared" si="2"/>
        <v>29687.30210118234</v>
      </c>
      <c r="L14" s="75">
        <f t="shared" si="3"/>
        <v>147361.17708000002</v>
      </c>
      <c r="M14" s="75">
        <v>600</v>
      </c>
      <c r="N14" s="72">
        <v>3199</v>
      </c>
      <c r="O14" s="73">
        <f t="shared" si="12"/>
        <v>895853.24918118236</v>
      </c>
      <c r="P14" s="75">
        <v>7458</v>
      </c>
      <c r="Q14" s="75">
        <v>4834</v>
      </c>
      <c r="R14" s="75">
        <v>7000</v>
      </c>
      <c r="S14" s="75">
        <f t="shared" si="4"/>
        <v>5209.8895431050005</v>
      </c>
      <c r="T14" s="75">
        <f t="shared" si="5"/>
        <v>5209.8895431050005</v>
      </c>
      <c r="U14" s="75">
        <f t="shared" si="13"/>
        <v>1362.5864958890002</v>
      </c>
      <c r="V14" s="75">
        <v>7999</v>
      </c>
      <c r="W14" s="73">
        <f t="shared" si="14"/>
        <v>866734.19553417631</v>
      </c>
      <c r="X14" s="84">
        <f t="shared" si="15"/>
        <v>929716.72522017639</v>
      </c>
      <c r="Y14" s="32">
        <f t="shared" si="6"/>
        <v>679255.48150000011</v>
      </c>
      <c r="Z14" s="32">
        <f t="shared" si="7"/>
        <v>4415.1606297500002</v>
      </c>
      <c r="AA14" s="32">
        <f t="shared" si="8"/>
        <v>794.72891335499992</v>
      </c>
      <c r="AB14" s="32">
        <f t="shared" si="9"/>
        <v>5209.8895431050005</v>
      </c>
      <c r="AP14" s="31">
        <v>855030</v>
      </c>
      <c r="AQ14" s="31">
        <v>920553</v>
      </c>
      <c r="AR14" s="32">
        <f t="shared" si="16"/>
        <v>-11704.19553417631</v>
      </c>
      <c r="AS14" s="32">
        <f t="shared" si="17"/>
        <v>-9163.7252201763913</v>
      </c>
    </row>
    <row r="15" spans="1:45" ht="15.75" thickBot="1">
      <c r="A15" s="223"/>
      <c r="B15" s="185"/>
      <c r="C15" s="71" t="s">
        <v>27</v>
      </c>
      <c r="D15" s="72">
        <v>719005.75</v>
      </c>
      <c r="E15" s="105">
        <f t="shared" si="10"/>
        <v>32432.903334373907</v>
      </c>
      <c r="F15" s="72">
        <f t="shared" si="0"/>
        <v>82172.445150000014</v>
      </c>
      <c r="G15" s="72">
        <v>600</v>
      </c>
      <c r="H15" s="72">
        <v>3199</v>
      </c>
      <c r="I15" s="73">
        <f t="shared" si="11"/>
        <v>837410.098484374</v>
      </c>
      <c r="J15" s="72">
        <f t="shared" si="1"/>
        <v>719005.75</v>
      </c>
      <c r="K15" s="106">
        <f t="shared" si="2"/>
        <v>29777.90333437391</v>
      </c>
      <c r="L15" s="75">
        <f t="shared" si="3"/>
        <v>148177.17299999998</v>
      </c>
      <c r="M15" s="75">
        <v>600</v>
      </c>
      <c r="N15" s="72">
        <v>3199</v>
      </c>
      <c r="O15" s="73">
        <f t="shared" si="12"/>
        <v>900759.82633437391</v>
      </c>
      <c r="P15" s="75">
        <v>7458</v>
      </c>
      <c r="Q15" s="75">
        <v>4834</v>
      </c>
      <c r="R15" s="75">
        <v>7000</v>
      </c>
      <c r="S15" s="75">
        <f t="shared" si="4"/>
        <v>5239.0353973749998</v>
      </c>
      <c r="T15" s="75">
        <f t="shared" si="5"/>
        <v>5239.0353973749998</v>
      </c>
      <c r="U15" s="75">
        <f t="shared" si="13"/>
        <v>1370.2092577750002</v>
      </c>
      <c r="V15" s="75">
        <v>7999</v>
      </c>
      <c r="W15" s="73">
        <f t="shared" si="14"/>
        <v>871310.34313952399</v>
      </c>
      <c r="X15" s="84">
        <f t="shared" si="15"/>
        <v>934660.0709895239</v>
      </c>
      <c r="Y15" s="32">
        <f t="shared" si="6"/>
        <v>683055.46250000002</v>
      </c>
      <c r="Z15" s="32">
        <f t="shared" si="7"/>
        <v>4439.8605062500001</v>
      </c>
      <c r="AA15" s="32">
        <f t="shared" si="8"/>
        <v>799.17489112500004</v>
      </c>
      <c r="AB15" s="32">
        <f t="shared" si="9"/>
        <v>5239.0353973749998</v>
      </c>
      <c r="AP15" s="31">
        <v>859606</v>
      </c>
      <c r="AQ15" s="31">
        <v>925496</v>
      </c>
      <c r="AR15" s="32">
        <f t="shared" si="16"/>
        <v>-11704.34313952399</v>
      </c>
      <c r="AS15" s="32">
        <f t="shared" si="17"/>
        <v>-9164.0709895238979</v>
      </c>
    </row>
    <row r="16" spans="1:45" ht="15.75" thickBot="1">
      <c r="A16" s="223"/>
      <c r="B16" s="185" t="s">
        <v>47</v>
      </c>
      <c r="C16" s="71" t="s">
        <v>26</v>
      </c>
      <c r="D16" s="72">
        <v>750356.74</v>
      </c>
      <c r="E16" s="105">
        <f t="shared" si="10"/>
        <v>33143.016473883748</v>
      </c>
      <c r="F16" s="72">
        <f t="shared" si="0"/>
        <v>85690.026228000002</v>
      </c>
      <c r="G16" s="72">
        <v>600</v>
      </c>
      <c r="H16" s="72">
        <v>3199</v>
      </c>
      <c r="I16" s="73">
        <f t="shared" si="11"/>
        <v>872988.7827018837</v>
      </c>
      <c r="J16" s="72">
        <f t="shared" si="1"/>
        <v>750356.74</v>
      </c>
      <c r="K16" s="106">
        <f t="shared" si="2"/>
        <v>30488.016473883745</v>
      </c>
      <c r="L16" s="75">
        <f t="shared" si="3"/>
        <v>154572.77496000001</v>
      </c>
      <c r="M16" s="75">
        <v>600</v>
      </c>
      <c r="N16" s="72">
        <v>3199</v>
      </c>
      <c r="O16" s="73">
        <f t="shared" si="12"/>
        <v>939216.53143388382</v>
      </c>
      <c r="P16" s="75">
        <v>7458</v>
      </c>
      <c r="Q16" s="75">
        <v>4834</v>
      </c>
      <c r="R16" s="75">
        <v>7000</v>
      </c>
      <c r="S16" s="75">
        <f t="shared" si="4"/>
        <v>5467.4743860099998</v>
      </c>
      <c r="T16" s="75">
        <f t="shared" si="5"/>
        <v>5467.4743860099998</v>
      </c>
      <c r="U16" s="75">
        <f t="shared" si="13"/>
        <v>1429.9548394179997</v>
      </c>
      <c r="V16" s="75">
        <v>7999</v>
      </c>
      <c r="W16" s="73">
        <f t="shared" si="14"/>
        <v>907177.21192731161</v>
      </c>
      <c r="X16" s="84">
        <f t="shared" si="15"/>
        <v>973404.96065931174</v>
      </c>
      <c r="Y16" s="32">
        <f t="shared" si="6"/>
        <v>712838.90299999993</v>
      </c>
      <c r="Z16" s="32">
        <f t="shared" si="7"/>
        <v>4633.4528694999999</v>
      </c>
      <c r="AA16" s="32">
        <f t="shared" si="8"/>
        <v>834.02151650999997</v>
      </c>
      <c r="AB16" s="32">
        <f t="shared" si="9"/>
        <v>5467.4743860099998</v>
      </c>
      <c r="AP16" s="31">
        <v>895473</v>
      </c>
      <c r="AQ16" s="31">
        <v>964241</v>
      </c>
      <c r="AR16" s="32">
        <f t="shared" si="16"/>
        <v>-11704.211927311611</v>
      </c>
      <c r="AS16" s="32">
        <f t="shared" si="17"/>
        <v>-9163.9606593117351</v>
      </c>
    </row>
    <row r="17" spans="1:45" ht="15.75" thickBot="1">
      <c r="A17" s="223"/>
      <c r="B17" s="185"/>
      <c r="C17" s="71" t="s">
        <v>27</v>
      </c>
      <c r="D17" s="72">
        <v>754356.75</v>
      </c>
      <c r="E17" s="105">
        <f t="shared" si="10"/>
        <v>33233.618386587958</v>
      </c>
      <c r="F17" s="72">
        <f t="shared" si="0"/>
        <v>86138.827349999992</v>
      </c>
      <c r="G17" s="72">
        <v>600</v>
      </c>
      <c r="H17" s="72">
        <v>3199</v>
      </c>
      <c r="I17" s="73">
        <f t="shared" si="11"/>
        <v>877528.19573658798</v>
      </c>
      <c r="J17" s="72">
        <f t="shared" si="1"/>
        <v>754356.75</v>
      </c>
      <c r="K17" s="106">
        <f t="shared" si="2"/>
        <v>30578.618386587958</v>
      </c>
      <c r="L17" s="75">
        <f t="shared" si="3"/>
        <v>155388.777</v>
      </c>
      <c r="M17" s="75">
        <v>600</v>
      </c>
      <c r="N17" s="72">
        <v>3199</v>
      </c>
      <c r="O17" s="73">
        <f t="shared" si="12"/>
        <v>944123.14538658794</v>
      </c>
      <c r="P17" s="75">
        <v>7458</v>
      </c>
      <c r="Q17" s="75">
        <v>4834</v>
      </c>
      <c r="R17" s="75">
        <v>7000</v>
      </c>
      <c r="S17" s="75">
        <f t="shared" si="4"/>
        <v>5496.6204588750006</v>
      </c>
      <c r="T17" s="75">
        <f t="shared" si="5"/>
        <v>5496.6204588750006</v>
      </c>
      <c r="U17" s="75">
        <f t="shared" si="13"/>
        <v>1437.5776584750001</v>
      </c>
      <c r="V17" s="75">
        <v>7999</v>
      </c>
      <c r="W17" s="73">
        <f t="shared" si="14"/>
        <v>911753.39385393797</v>
      </c>
      <c r="X17" s="84">
        <f t="shared" si="15"/>
        <v>978348.34350393794</v>
      </c>
      <c r="Y17" s="32">
        <f t="shared" si="6"/>
        <v>716638.91249999998</v>
      </c>
      <c r="Z17" s="32">
        <f t="shared" si="7"/>
        <v>4658.1529312500006</v>
      </c>
      <c r="AA17" s="32">
        <f t="shared" si="8"/>
        <v>838.46752762500012</v>
      </c>
      <c r="AB17" s="32">
        <f t="shared" si="9"/>
        <v>5496.6204588750006</v>
      </c>
      <c r="AP17" s="31">
        <v>900050</v>
      </c>
      <c r="AQ17" s="31">
        <v>969185</v>
      </c>
      <c r="AR17" s="32">
        <f t="shared" si="16"/>
        <v>-11703.393853937974</v>
      </c>
      <c r="AS17" s="32">
        <f t="shared" si="17"/>
        <v>-9163.3435039379401</v>
      </c>
    </row>
    <row r="18" spans="1:45" ht="15.75" thickBot="1">
      <c r="A18" s="223"/>
      <c r="B18" s="185" t="s">
        <v>119</v>
      </c>
      <c r="C18" s="71" t="s">
        <v>26</v>
      </c>
      <c r="D18" s="72">
        <v>755356.74</v>
      </c>
      <c r="E18" s="105">
        <f t="shared" si="10"/>
        <v>33256.26858163374</v>
      </c>
      <c r="F18" s="72">
        <f t="shared" si="0"/>
        <v>86251.026228000002</v>
      </c>
      <c r="G18" s="72">
        <v>600</v>
      </c>
      <c r="H18" s="72">
        <v>3199</v>
      </c>
      <c r="I18" s="73">
        <f t="shared" si="11"/>
        <v>878663.03480963362</v>
      </c>
      <c r="J18" s="72">
        <f>D18</f>
        <v>755356.74</v>
      </c>
      <c r="K18" s="106">
        <f t="shared" si="2"/>
        <v>30601.268581633743</v>
      </c>
      <c r="L18" s="75">
        <f t="shared" si="3"/>
        <v>155592.77496000001</v>
      </c>
      <c r="M18" s="75">
        <v>600</v>
      </c>
      <c r="N18" s="72">
        <v>3199</v>
      </c>
      <c r="O18" s="73">
        <f t="shared" si="12"/>
        <v>945349.78354163375</v>
      </c>
      <c r="P18" s="75">
        <v>7458</v>
      </c>
      <c r="Q18" s="75">
        <v>4834</v>
      </c>
      <c r="R18" s="75">
        <v>7000</v>
      </c>
      <c r="S18" s="75">
        <f>AB18</f>
        <v>5503.9068860099997</v>
      </c>
      <c r="T18" s="75">
        <f>AB18</f>
        <v>5503.9068860099997</v>
      </c>
      <c r="U18" s="75">
        <f t="shared" si="13"/>
        <v>1439.4833394179998</v>
      </c>
      <c r="V18" s="75">
        <v>7999</v>
      </c>
      <c r="W18" s="73">
        <f t="shared" si="14"/>
        <v>912897.42503506155</v>
      </c>
      <c r="X18" s="84">
        <f t="shared" si="15"/>
        <v>979584.17376706167</v>
      </c>
      <c r="Y18" s="32">
        <f>D18*95/100</f>
        <v>717588.90299999993</v>
      </c>
      <c r="Z18" s="32">
        <f>Y18*0.65/100</f>
        <v>4664.3278694999999</v>
      </c>
      <c r="AA18" s="32">
        <f>Z18*18/100</f>
        <v>839.57901650999997</v>
      </c>
      <c r="AB18" s="32">
        <f>Z18+AA18</f>
        <v>5503.9068860099997</v>
      </c>
      <c r="AP18" s="31">
        <v>901193</v>
      </c>
      <c r="AQ18" s="31">
        <v>970420</v>
      </c>
      <c r="AR18" s="32">
        <f t="shared" si="16"/>
        <v>-11704.425035061548</v>
      </c>
      <c r="AS18" s="32">
        <f t="shared" si="17"/>
        <v>-9164.1737670616712</v>
      </c>
    </row>
    <row r="19" spans="1:45" ht="15.75" thickBot="1">
      <c r="A19" s="223"/>
      <c r="B19" s="185"/>
      <c r="C19" s="71" t="s">
        <v>27</v>
      </c>
      <c r="D19" s="72">
        <v>759356.75</v>
      </c>
      <c r="E19" s="105">
        <f t="shared" si="10"/>
        <v>33346.870494337963</v>
      </c>
      <c r="F19" s="72">
        <f t="shared" si="0"/>
        <v>86699.827349999992</v>
      </c>
      <c r="G19" s="72">
        <v>600</v>
      </c>
      <c r="H19" s="72">
        <v>3199</v>
      </c>
      <c r="I19" s="73">
        <f t="shared" si="11"/>
        <v>883202.44784433802</v>
      </c>
      <c r="J19" s="72">
        <f>D19</f>
        <v>759356.75</v>
      </c>
      <c r="K19" s="106">
        <f t="shared" si="2"/>
        <v>30691.87049433796</v>
      </c>
      <c r="L19" s="75">
        <f t="shared" si="3"/>
        <v>156408.777</v>
      </c>
      <c r="M19" s="75">
        <v>600</v>
      </c>
      <c r="N19" s="72">
        <v>3199</v>
      </c>
      <c r="O19" s="73">
        <f t="shared" si="12"/>
        <v>950256.39749433799</v>
      </c>
      <c r="P19" s="75">
        <v>7458</v>
      </c>
      <c r="Q19" s="75">
        <v>4834</v>
      </c>
      <c r="R19" s="75">
        <v>7000</v>
      </c>
      <c r="S19" s="75">
        <f>AB19</f>
        <v>5533.0529588750005</v>
      </c>
      <c r="T19" s="75">
        <f>AB19</f>
        <v>5533.0529588750005</v>
      </c>
      <c r="U19" s="75">
        <f t="shared" si="13"/>
        <v>1447.106158475</v>
      </c>
      <c r="V19" s="75">
        <v>7999</v>
      </c>
      <c r="W19" s="73">
        <f t="shared" si="14"/>
        <v>917473.60696168803</v>
      </c>
      <c r="X19" s="84">
        <f t="shared" si="15"/>
        <v>984527.55661168799</v>
      </c>
      <c r="Y19" s="32">
        <f>D19*95/100</f>
        <v>721388.91249999998</v>
      </c>
      <c r="Z19" s="32">
        <f>Y19*0.65/100</f>
        <v>4689.0279312500006</v>
      </c>
      <c r="AA19" s="32">
        <f>Z19*18/100</f>
        <v>844.02502762500012</v>
      </c>
      <c r="AB19" s="32">
        <f>Z19+AA19</f>
        <v>5533.0529588750005</v>
      </c>
      <c r="AP19" s="31">
        <v>905769</v>
      </c>
      <c r="AQ19" s="31">
        <v>975363</v>
      </c>
      <c r="AR19" s="32">
        <f t="shared" si="16"/>
        <v>-11704.606961688027</v>
      </c>
      <c r="AS19" s="32">
        <f t="shared" si="17"/>
        <v>-9164.5566116879927</v>
      </c>
    </row>
    <row r="20" spans="1:45" ht="15.75" thickBot="1">
      <c r="A20" s="223"/>
      <c r="B20" s="185" t="s">
        <v>48</v>
      </c>
      <c r="C20" s="71" t="s">
        <v>26</v>
      </c>
      <c r="D20" s="72">
        <v>799549.71</v>
      </c>
      <c r="E20" s="105">
        <f t="shared" si="10"/>
        <v>34257.257981680246</v>
      </c>
      <c r="F20" s="72">
        <f t="shared" si="0"/>
        <v>91209.477461999981</v>
      </c>
      <c r="G20" s="72">
        <v>600</v>
      </c>
      <c r="H20" s="72">
        <v>3199</v>
      </c>
      <c r="I20" s="73">
        <f t="shared" si="11"/>
        <v>928815.44544368016</v>
      </c>
      <c r="J20" s="72">
        <f t="shared" si="1"/>
        <v>799549.71</v>
      </c>
      <c r="K20" s="106">
        <f t="shared" si="2"/>
        <v>31602.257981680243</v>
      </c>
      <c r="L20" s="75">
        <f t="shared" si="3"/>
        <v>164608.14083999998</v>
      </c>
      <c r="M20" s="75">
        <v>600</v>
      </c>
      <c r="N20" s="72">
        <v>3199</v>
      </c>
      <c r="O20" s="73">
        <f t="shared" si="12"/>
        <v>999559.10882168019</v>
      </c>
      <c r="P20" s="75">
        <v>7458</v>
      </c>
      <c r="Q20" s="75">
        <v>4834</v>
      </c>
      <c r="R20" s="75">
        <v>7000</v>
      </c>
      <c r="S20" s="75">
        <f t="shared" si="4"/>
        <v>5825.9189619150002</v>
      </c>
      <c r="T20" s="72">
        <f t="shared" si="5"/>
        <v>5825.9189619150002</v>
      </c>
      <c r="U20" s="75">
        <f t="shared" si="13"/>
        <v>1523.7018823469998</v>
      </c>
      <c r="V20" s="75">
        <v>7999</v>
      </c>
      <c r="W20" s="73">
        <f t="shared" si="14"/>
        <v>963456.06628794211</v>
      </c>
      <c r="X20" s="84">
        <f t="shared" si="15"/>
        <v>1034199.7296659421</v>
      </c>
      <c r="Y20" s="32">
        <f t="shared" si="6"/>
        <v>759572.22450000001</v>
      </c>
      <c r="Z20" s="32">
        <f t="shared" si="7"/>
        <v>4937.21945925</v>
      </c>
      <c r="AA20" s="32">
        <f t="shared" si="8"/>
        <v>888.69950266500007</v>
      </c>
      <c r="AB20" s="32">
        <f t="shared" si="9"/>
        <v>5825.9189619150002</v>
      </c>
      <c r="AP20" s="31">
        <v>951752</v>
      </c>
      <c r="AQ20" s="31">
        <v>1025036</v>
      </c>
      <c r="AR20" s="32">
        <f t="shared" si="16"/>
        <v>-11704.066287942114</v>
      </c>
      <c r="AS20" s="32">
        <f t="shared" si="17"/>
        <v>-9163.7296659421409</v>
      </c>
    </row>
    <row r="21" spans="1:45" ht="15.75" thickBot="1">
      <c r="A21" s="223"/>
      <c r="B21" s="185"/>
      <c r="C21" s="71" t="s">
        <v>27</v>
      </c>
      <c r="D21" s="72">
        <v>803549.74</v>
      </c>
      <c r="E21" s="105">
        <f t="shared" si="10"/>
        <v>34347.860347392896</v>
      </c>
      <c r="F21" s="72">
        <f t="shared" si="0"/>
        <v>91658.280828000003</v>
      </c>
      <c r="G21" s="72">
        <v>600</v>
      </c>
      <c r="H21" s="72">
        <v>3199</v>
      </c>
      <c r="I21" s="73">
        <f t="shared" si="11"/>
        <v>933354.88117539289</v>
      </c>
      <c r="J21" s="72">
        <f t="shared" si="1"/>
        <v>803549.74</v>
      </c>
      <c r="K21" s="106">
        <f t="shared" si="2"/>
        <v>31692.860347392892</v>
      </c>
      <c r="L21" s="75">
        <f t="shared" si="3"/>
        <v>165424.14696000001</v>
      </c>
      <c r="M21" s="75">
        <v>600</v>
      </c>
      <c r="N21" s="72">
        <v>3199</v>
      </c>
      <c r="O21" s="73">
        <f t="shared" si="12"/>
        <v>1004465.7473073929</v>
      </c>
      <c r="P21" s="75">
        <v>7458</v>
      </c>
      <c r="Q21" s="75">
        <v>4834</v>
      </c>
      <c r="R21" s="75">
        <v>7000</v>
      </c>
      <c r="S21" s="75">
        <f t="shared" si="4"/>
        <v>5855.0651805100006</v>
      </c>
      <c r="T21" s="72">
        <f t="shared" si="5"/>
        <v>5855.0651805100006</v>
      </c>
      <c r="U21" s="75">
        <f t="shared" si="13"/>
        <v>1531.3247395179999</v>
      </c>
      <c r="V21" s="75">
        <v>7999</v>
      </c>
      <c r="W21" s="73">
        <f t="shared" si="14"/>
        <v>968032.27109542093</v>
      </c>
      <c r="X21" s="84">
        <f t="shared" si="15"/>
        <v>1039143.1372274209</v>
      </c>
      <c r="Y21" s="32">
        <f t="shared" si="6"/>
        <v>763372.25300000003</v>
      </c>
      <c r="Z21" s="32">
        <f t="shared" si="7"/>
        <v>4961.9196445000007</v>
      </c>
      <c r="AA21" s="32">
        <f t="shared" si="8"/>
        <v>893.14553601000011</v>
      </c>
      <c r="AB21" s="32">
        <f t="shared" si="9"/>
        <v>5855.0651805100006</v>
      </c>
      <c r="AP21" s="31">
        <v>956328</v>
      </c>
      <c r="AQ21" s="31">
        <v>1029979</v>
      </c>
      <c r="AR21" s="32">
        <f t="shared" si="16"/>
        <v>-11704.271095420932</v>
      </c>
      <c r="AS21" s="32">
        <f t="shared" si="17"/>
        <v>-9164.137227420928</v>
      </c>
    </row>
    <row r="22" spans="1:45" ht="15.75" thickBot="1">
      <c r="A22" s="223"/>
      <c r="B22" s="185" t="s">
        <v>49</v>
      </c>
      <c r="C22" s="71" t="s">
        <v>26</v>
      </c>
      <c r="D22" s="72">
        <v>780574.73</v>
      </c>
      <c r="E22" s="105">
        <f t="shared" si="10"/>
        <v>33827.466685777435</v>
      </c>
      <c r="F22" s="72">
        <f t="shared" si="0"/>
        <v>89080.484705999988</v>
      </c>
      <c r="G22" s="72">
        <v>600</v>
      </c>
      <c r="H22" s="72">
        <v>3199</v>
      </c>
      <c r="I22" s="73">
        <f t="shared" si="11"/>
        <v>907281.68139177735</v>
      </c>
      <c r="J22" s="72">
        <f t="shared" si="1"/>
        <v>780574.73</v>
      </c>
      <c r="K22" s="106">
        <f t="shared" si="2"/>
        <v>31172.466685777432</v>
      </c>
      <c r="L22" s="75">
        <f t="shared" si="3"/>
        <v>160737.24492</v>
      </c>
      <c r="M22" s="75">
        <v>600</v>
      </c>
      <c r="N22" s="72">
        <v>3199</v>
      </c>
      <c r="O22" s="73">
        <f t="shared" si="12"/>
        <v>976283.44160577736</v>
      </c>
      <c r="P22" s="75">
        <v>7458</v>
      </c>
      <c r="Q22" s="75">
        <v>4834</v>
      </c>
      <c r="R22" s="75">
        <v>7000</v>
      </c>
      <c r="S22" s="75">
        <f t="shared" si="4"/>
        <v>5687.6577701450005</v>
      </c>
      <c r="T22" s="72">
        <f t="shared" si="5"/>
        <v>5687.6577701450005</v>
      </c>
      <c r="U22" s="75">
        <f t="shared" si="13"/>
        <v>1487.541262961</v>
      </c>
      <c r="V22" s="75">
        <v>7999</v>
      </c>
      <c r="W22" s="73">
        <f t="shared" si="14"/>
        <v>941747.88042488333</v>
      </c>
      <c r="X22" s="84">
        <f t="shared" si="15"/>
        <v>1010749.6406388833</v>
      </c>
      <c r="Y22" s="32">
        <f t="shared" si="6"/>
        <v>741545.99349999998</v>
      </c>
      <c r="Z22" s="32">
        <f t="shared" si="7"/>
        <v>4820.0489577500002</v>
      </c>
      <c r="AA22" s="32">
        <f t="shared" si="8"/>
        <v>867.60881239499997</v>
      </c>
      <c r="AB22" s="32">
        <f t="shared" si="9"/>
        <v>5687.6577701450005</v>
      </c>
      <c r="AP22" s="31">
        <v>930045</v>
      </c>
      <c r="AQ22" s="31">
        <v>1001586</v>
      </c>
      <c r="AR22" s="32">
        <f t="shared" si="16"/>
        <v>-11702.880424883333</v>
      </c>
      <c r="AS22" s="32">
        <f t="shared" si="17"/>
        <v>-9163.640638883342</v>
      </c>
    </row>
    <row r="23" spans="1:45" ht="15.75" thickBot="1">
      <c r="A23" s="223"/>
      <c r="B23" s="185"/>
      <c r="C23" s="71" t="s">
        <v>27</v>
      </c>
      <c r="D23" s="72">
        <v>784574.72</v>
      </c>
      <c r="E23" s="105">
        <f t="shared" si="10"/>
        <v>33918.068145473204</v>
      </c>
      <c r="F23" s="72">
        <f t="shared" si="0"/>
        <v>89529.28358399999</v>
      </c>
      <c r="G23" s="72">
        <v>600</v>
      </c>
      <c r="H23" s="72">
        <v>3199</v>
      </c>
      <c r="I23" s="73">
        <f t="shared" si="11"/>
        <v>911821.07172947319</v>
      </c>
      <c r="J23" s="72">
        <f t="shared" si="1"/>
        <v>784574.72</v>
      </c>
      <c r="K23" s="106">
        <f t="shared" si="2"/>
        <v>31263.068145473211</v>
      </c>
      <c r="L23" s="75">
        <f t="shared" si="3"/>
        <v>161553.24287999998</v>
      </c>
      <c r="M23" s="75">
        <v>600</v>
      </c>
      <c r="N23" s="72">
        <v>3199</v>
      </c>
      <c r="O23" s="73">
        <f t="shared" si="12"/>
        <v>981190.03102547326</v>
      </c>
      <c r="P23" s="75">
        <v>7458</v>
      </c>
      <c r="Q23" s="75">
        <v>4834</v>
      </c>
      <c r="R23" s="75">
        <v>7000</v>
      </c>
      <c r="S23" s="75">
        <f t="shared" si="4"/>
        <v>5716.8036972800001</v>
      </c>
      <c r="T23" s="72">
        <f t="shared" si="5"/>
        <v>5716.8036972800001</v>
      </c>
      <c r="U23" s="75">
        <f t="shared" si="13"/>
        <v>1495.1640439039998</v>
      </c>
      <c r="V23" s="75">
        <v>7999</v>
      </c>
      <c r="W23" s="73">
        <f t="shared" si="14"/>
        <v>946324.03947065724</v>
      </c>
      <c r="X23" s="84">
        <f t="shared" si="15"/>
        <v>1015692.9987666573</v>
      </c>
      <c r="Y23" s="32">
        <f t="shared" si="6"/>
        <v>745345.98399999994</v>
      </c>
      <c r="Z23" s="32">
        <f t="shared" si="7"/>
        <v>4844.7488960000001</v>
      </c>
      <c r="AA23" s="32">
        <f t="shared" si="8"/>
        <v>872.05480127999999</v>
      </c>
      <c r="AB23" s="32">
        <f t="shared" si="9"/>
        <v>5716.8036972800001</v>
      </c>
      <c r="AP23" s="31">
        <v>934619</v>
      </c>
      <c r="AQ23" s="31">
        <v>1006528</v>
      </c>
      <c r="AR23" s="32">
        <f t="shared" si="16"/>
        <v>-11705.039470657241</v>
      </c>
      <c r="AS23" s="32">
        <f t="shared" si="17"/>
        <v>-9164.9987666573143</v>
      </c>
    </row>
    <row r="24" spans="1:45" ht="15.75" thickBot="1">
      <c r="A24" s="223"/>
      <c r="B24" s="185" t="s">
        <v>50</v>
      </c>
      <c r="C24" s="71" t="s">
        <v>26</v>
      </c>
      <c r="D24" s="72">
        <v>857103.7</v>
      </c>
      <c r="E24" s="105">
        <f t="shared" si="10"/>
        <v>35560.880117064728</v>
      </c>
      <c r="F24" s="72">
        <f t="shared" si="0"/>
        <v>97667.035139999993</v>
      </c>
      <c r="G24" s="72">
        <v>600</v>
      </c>
      <c r="H24" s="72">
        <v>3199</v>
      </c>
      <c r="I24" s="73">
        <f t="shared" si="11"/>
        <v>994130.61525706458</v>
      </c>
      <c r="J24" s="77">
        <f>D24</f>
        <v>857103.7</v>
      </c>
      <c r="K24" s="106">
        <f t="shared" si="2"/>
        <v>32905.880117064728</v>
      </c>
      <c r="L24" s="75">
        <f t="shared" si="3"/>
        <v>176349.15479999999</v>
      </c>
      <c r="M24" s="75">
        <v>600</v>
      </c>
      <c r="N24" s="72">
        <v>3199</v>
      </c>
      <c r="O24" s="73">
        <f t="shared" si="12"/>
        <v>1070157.7349170647</v>
      </c>
      <c r="P24" s="75">
        <v>7458</v>
      </c>
      <c r="Q24" s="75">
        <v>4834</v>
      </c>
      <c r="R24" s="75">
        <v>7000</v>
      </c>
      <c r="S24" s="76">
        <f>AB24</f>
        <v>6245.2861100500004</v>
      </c>
      <c r="T24" s="76">
        <f>AB24</f>
        <v>6245.2861100500004</v>
      </c>
      <c r="U24" s="75">
        <f t="shared" si="13"/>
        <v>1633.38252109</v>
      </c>
      <c r="V24" s="75">
        <v>7999</v>
      </c>
      <c r="W24" s="73">
        <f t="shared" si="14"/>
        <v>1029300.2838882046</v>
      </c>
      <c r="X24" s="84">
        <f t="shared" si="15"/>
        <v>1105327.4035482048</v>
      </c>
      <c r="Y24" s="32">
        <f>D24*95/100</f>
        <v>814248.51500000001</v>
      </c>
      <c r="Z24" s="32">
        <f>Y24*0.65/100</f>
        <v>5292.6153475000001</v>
      </c>
      <c r="AA24" s="32">
        <f>Z24*18/100</f>
        <v>952.67076255000006</v>
      </c>
      <c r="AB24" s="32">
        <f>Z24+AA24</f>
        <v>6245.2861100500004</v>
      </c>
      <c r="AP24" s="31">
        <v>1017595</v>
      </c>
      <c r="AQ24" s="31">
        <v>1096162</v>
      </c>
      <c r="AR24" s="32">
        <f t="shared" si="16"/>
        <v>-11705.283888204605</v>
      </c>
      <c r="AS24" s="32">
        <f t="shared" si="17"/>
        <v>-9165.4035482048057</v>
      </c>
    </row>
    <row r="25" spans="1:45" ht="15.75" thickBot="1">
      <c r="A25" s="223"/>
      <c r="B25" s="185"/>
      <c r="C25" s="71" t="s">
        <v>27</v>
      </c>
      <c r="D25" s="72">
        <v>861103.7</v>
      </c>
      <c r="E25" s="105">
        <f t="shared" si="10"/>
        <v>35651.481803264731</v>
      </c>
      <c r="F25" s="72">
        <f t="shared" si="0"/>
        <v>98115.835139999996</v>
      </c>
      <c r="G25" s="72">
        <v>600</v>
      </c>
      <c r="H25" s="72">
        <v>3199</v>
      </c>
      <c r="I25" s="73">
        <f t="shared" si="11"/>
        <v>998670.01694326464</v>
      </c>
      <c r="J25" s="77">
        <f>D25</f>
        <v>861103.7</v>
      </c>
      <c r="K25" s="106">
        <f t="shared" si="2"/>
        <v>32996.481803264731</v>
      </c>
      <c r="L25" s="75">
        <f t="shared" si="3"/>
        <v>177165.15479999999</v>
      </c>
      <c r="M25" s="75">
        <v>600</v>
      </c>
      <c r="N25" s="72">
        <v>3199</v>
      </c>
      <c r="O25" s="73">
        <f t="shared" si="12"/>
        <v>1075064.3366032646</v>
      </c>
      <c r="P25" s="77">
        <v>7458</v>
      </c>
      <c r="Q25" s="77">
        <v>4834</v>
      </c>
      <c r="R25" s="77">
        <v>7000</v>
      </c>
      <c r="S25" s="76">
        <f>AB25</f>
        <v>6274.4321100500001</v>
      </c>
      <c r="T25" s="76">
        <f>AB25</f>
        <v>6274.4321100500001</v>
      </c>
      <c r="U25" s="75">
        <f t="shared" si="13"/>
        <v>1641.0053210899998</v>
      </c>
      <c r="V25" s="77">
        <v>7999</v>
      </c>
      <c r="W25" s="73">
        <f t="shared" si="14"/>
        <v>1033876.4543744046</v>
      </c>
      <c r="X25" s="84">
        <f t="shared" si="15"/>
        <v>1110270.7740344047</v>
      </c>
      <c r="Y25" s="32">
        <f>D25*95/100</f>
        <v>818048.51500000001</v>
      </c>
      <c r="Z25" s="32">
        <f>Y25*0.65/100</f>
        <v>5317.3153474999999</v>
      </c>
      <c r="AA25" s="32">
        <f>Z25*18/100</f>
        <v>957.11676254999998</v>
      </c>
      <c r="AB25" s="32">
        <f>Z25+AA25</f>
        <v>6274.4321100500001</v>
      </c>
      <c r="AP25" s="31">
        <v>1022171</v>
      </c>
      <c r="AQ25" s="31">
        <v>1101105</v>
      </c>
      <c r="AR25" s="32">
        <f t="shared" si="16"/>
        <v>-11705.454374404624</v>
      </c>
      <c r="AS25" s="32">
        <f t="shared" si="17"/>
        <v>-9165.7740344046615</v>
      </c>
    </row>
    <row r="26" spans="1:45" ht="15.75" thickBot="1">
      <c r="A26" s="223"/>
      <c r="B26" s="185" t="s">
        <v>120</v>
      </c>
      <c r="C26" s="71" t="s">
        <v>26</v>
      </c>
      <c r="D26" s="72">
        <v>862103.68</v>
      </c>
      <c r="E26" s="105">
        <f t="shared" si="10"/>
        <v>35674.131771806307</v>
      </c>
      <c r="F26" s="72">
        <f t="shared" si="0"/>
        <v>98228.032896000004</v>
      </c>
      <c r="G26" s="72">
        <v>600</v>
      </c>
      <c r="H26" s="72">
        <v>3199</v>
      </c>
      <c r="I26" s="73">
        <f t="shared" si="11"/>
        <v>999804.84466780629</v>
      </c>
      <c r="J26" s="77">
        <f t="shared" si="1"/>
        <v>862103.68</v>
      </c>
      <c r="K26" s="106">
        <f t="shared" si="2"/>
        <v>33019.131771806307</v>
      </c>
      <c r="L26" s="75">
        <f t="shared" si="3"/>
        <v>177369.15072000001</v>
      </c>
      <c r="M26" s="75">
        <v>600</v>
      </c>
      <c r="N26" s="72">
        <v>3199</v>
      </c>
      <c r="O26" s="73">
        <f t="shared" si="12"/>
        <v>1076290.9624918064</v>
      </c>
      <c r="P26" s="75">
        <v>7458</v>
      </c>
      <c r="Q26" s="75">
        <v>4834</v>
      </c>
      <c r="R26" s="75">
        <v>7000</v>
      </c>
      <c r="S26" s="76">
        <f t="shared" si="4"/>
        <v>6281.7184643199998</v>
      </c>
      <c r="T26" s="76">
        <f t="shared" si="5"/>
        <v>6281.7184643199998</v>
      </c>
      <c r="U26" s="75">
        <f t="shared" si="13"/>
        <v>1642.910982976</v>
      </c>
      <c r="V26" s="75">
        <v>7999</v>
      </c>
      <c r="W26" s="73">
        <f t="shared" si="14"/>
        <v>1035020.4741151022</v>
      </c>
      <c r="X26" s="84">
        <f t="shared" si="15"/>
        <v>1111506.5919391024</v>
      </c>
      <c r="Y26" s="32">
        <f t="shared" si="6"/>
        <v>818998.49600000004</v>
      </c>
      <c r="Z26" s="32">
        <f t="shared" si="7"/>
        <v>5323.4902240000001</v>
      </c>
      <c r="AA26" s="32">
        <f t="shared" si="8"/>
        <v>958.22824032000005</v>
      </c>
      <c r="AB26" s="32">
        <f t="shared" si="9"/>
        <v>6281.7184643199998</v>
      </c>
      <c r="AP26" s="31">
        <v>1023315</v>
      </c>
      <c r="AQ26" s="31">
        <v>1102341</v>
      </c>
      <c r="AR26" s="32">
        <f t="shared" si="16"/>
        <v>-11705.474115102203</v>
      </c>
      <c r="AS26" s="32">
        <f t="shared" si="17"/>
        <v>-9165.5919391023926</v>
      </c>
    </row>
    <row r="27" spans="1:45" ht="15.75" thickBot="1">
      <c r="A27" s="224"/>
      <c r="B27" s="186"/>
      <c r="C27" s="85" t="s">
        <v>27</v>
      </c>
      <c r="D27" s="87">
        <v>866103.69</v>
      </c>
      <c r="E27" s="105">
        <f>((D27*95%*3.283%)-((D27*95%*3.283%)*40%)+13434)+((D27*95%*3.283%)-((D27*95%*3.283%)*40%)+13434)*18%+(D27*95%*0.1%+250)+(D27*95%*0.1%+250)*18%-IF((((D27*95%*3.283%)-((D27*95%*3.283%)*40%))*2.5%)&gt;500,500,(((D27*95%*3.283%)-((D27*95%*3.283%)*40%))*2.5%))-IF((((D27*95%*3.283%)-((D27*95%*3.283%)*40%))*2.5%)&gt;500,500,(((D27*95%*3.283%)-((D27*95%*3.283%)*40%))*2.5%))*18%</f>
        <v>35764.733684510516</v>
      </c>
      <c r="F27" s="86">
        <f t="shared" si="0"/>
        <v>98676.834017999994</v>
      </c>
      <c r="G27" s="86">
        <v>600</v>
      </c>
      <c r="H27" s="86">
        <v>3199</v>
      </c>
      <c r="I27" s="88">
        <f t="shared" si="11"/>
        <v>1004344.2577025103</v>
      </c>
      <c r="J27" s="90">
        <f t="shared" si="1"/>
        <v>866103.69</v>
      </c>
      <c r="K27" s="107">
        <f t="shared" si="2"/>
        <v>33109.733684510516</v>
      </c>
      <c r="L27" s="89">
        <f t="shared" si="3"/>
        <v>178185.15275999997</v>
      </c>
      <c r="M27" s="89">
        <v>600</v>
      </c>
      <c r="N27" s="86">
        <v>3199</v>
      </c>
      <c r="O27" s="88">
        <f t="shared" si="12"/>
        <v>1081197.5764445104</v>
      </c>
      <c r="P27" s="90">
        <v>7458</v>
      </c>
      <c r="Q27" s="90">
        <v>4834</v>
      </c>
      <c r="R27" s="90">
        <v>7000</v>
      </c>
      <c r="S27" s="87">
        <f t="shared" si="4"/>
        <v>6310.8645371849998</v>
      </c>
      <c r="T27" s="87">
        <f t="shared" si="5"/>
        <v>6310.8645371849998</v>
      </c>
      <c r="U27" s="89">
        <f t="shared" si="13"/>
        <v>1650.5338020329998</v>
      </c>
      <c r="V27" s="90">
        <v>7999</v>
      </c>
      <c r="W27" s="88">
        <f t="shared" si="14"/>
        <v>1039596.6560417284</v>
      </c>
      <c r="X27" s="101">
        <f t="shared" si="15"/>
        <v>1116449.9747837284</v>
      </c>
      <c r="Y27" s="32">
        <f t="shared" si="6"/>
        <v>822798.50549999997</v>
      </c>
      <c r="Z27" s="32">
        <f t="shared" si="7"/>
        <v>5348.1902857499999</v>
      </c>
      <c r="AA27" s="32">
        <f t="shared" si="8"/>
        <v>962.67425143500009</v>
      </c>
      <c r="AB27" s="32">
        <f t="shared" si="9"/>
        <v>6310.8645371849998</v>
      </c>
      <c r="AP27" s="31">
        <v>1027892</v>
      </c>
      <c r="AQ27" s="31">
        <v>1107286</v>
      </c>
      <c r="AR27" s="32">
        <f t="shared" si="16"/>
        <v>-11704.656041728449</v>
      </c>
      <c r="AS27" s="32">
        <f t="shared" si="17"/>
        <v>-9163.9747837283649</v>
      </c>
    </row>
    <row r="28" spans="1:45" ht="15.75" thickBot="1">
      <c r="E28" s="108"/>
      <c r="K28" s="108"/>
    </row>
    <row r="29" spans="1:45" ht="15.75" thickBot="1">
      <c r="A29" s="219" t="s">
        <v>51</v>
      </c>
      <c r="B29" s="184" t="s">
        <v>44</v>
      </c>
      <c r="C29" s="78" t="s">
        <v>26</v>
      </c>
      <c r="D29" s="79">
        <v>744784.74</v>
      </c>
      <c r="E29" s="105">
        <f t="shared" ref="E29:E40" si="18">((D29*95%*3.283%)-((D29*95%*3.283%)*40%)+13434)+((D29*95%*3.283%)-((D29*95%*3.283%)*40%)+13434)*18%+(D29*95%*0.1%+250)+(D29*95%*0.1%+250)*18%-IF((((D29*95%*3.283%)-((D29*95%*3.283%)*40%))*2.5%)&gt;500,500,(((D29*95%*3.283%)-((D29*95%*3.283%)*40%))*2.5%))-IF((((D29*95%*3.283%)-((D29*95%*3.283%)*40%))*2.5%)&gt;500,500,(((D29*95%*3.283%)-((D29*95%*3.283%)*40%))*2.5%))*18%</f>
        <v>33016.808325007136</v>
      </c>
      <c r="F29" s="79">
        <f t="shared" ref="F29:F40" si="19">(D29*13/100)+(D29*13/100)*2/100+1500</f>
        <v>100258.45652399999</v>
      </c>
      <c r="G29" s="79">
        <v>600</v>
      </c>
      <c r="H29" s="79">
        <v>3199</v>
      </c>
      <c r="I29" s="80">
        <f>D29+E29+F29+H29+G29</f>
        <v>881859.00484900712</v>
      </c>
      <c r="J29" s="79">
        <f t="shared" ref="J29:J40" si="20">D29</f>
        <v>744784.74</v>
      </c>
      <c r="K29" s="105">
        <f t="shared" ref="K29:K40" si="21">((J29*95%*3.283%)-((J29*95%*3.283%)*40%)+11184)+((J29*95%*3.283%)-((J29*95%*3.283%)*40%)+11184)*18%+(J29*95%*0.1%+250)+(J29*95%*0.1%+250)*18%-IF((((J29*95%*3.283%)-((J29*95%*3.283%)*40%))*2.5%)&gt;500,500,(((J29*95%*3.283%)-((J29*95%*3.283%)*40%))*2.5%))-IF((((J29*95%*3.283%)-((J29*95%*3.283%)*40%))*2.5%)&gt;500,500,(((J29*95%*3.283%)-((J29*95%*3.283%)*40%))*2.5%))*18%</f>
        <v>30361.808325007143</v>
      </c>
      <c r="L29" s="82">
        <f t="shared" ref="L29:L40" si="22">(J29*20/100)+(J29*20/100)*2/100+1500</f>
        <v>153436.08696000002</v>
      </c>
      <c r="M29" s="82">
        <v>600</v>
      </c>
      <c r="N29" s="79">
        <v>3199</v>
      </c>
      <c r="O29" s="80">
        <f>J29+K29+L29+N29+M29</f>
        <v>932381.63528500707</v>
      </c>
      <c r="P29" s="82">
        <v>8804</v>
      </c>
      <c r="Q29" s="82">
        <v>4834</v>
      </c>
      <c r="R29" s="82">
        <v>7000</v>
      </c>
      <c r="S29" s="82">
        <f t="shared" ref="S29:S40" si="23">AB29</f>
        <v>5426.8740080100006</v>
      </c>
      <c r="T29" s="82">
        <f t="shared" ref="T29:T40" si="24">AB29</f>
        <v>5426.8740080100006</v>
      </c>
      <c r="U29" s="82">
        <f t="shared" si="13"/>
        <v>1419.3362790179999</v>
      </c>
      <c r="V29" s="82">
        <v>7999</v>
      </c>
      <c r="W29" s="80">
        <f t="shared" ref="W29" si="25">I29+P29+Q29+S29+V29+R29+U29</f>
        <v>917342.21513603511</v>
      </c>
      <c r="X29" s="83">
        <f t="shared" ref="X29" si="26">O29+P29+Q29+T29+V29+R29+U29</f>
        <v>967864.84557203506</v>
      </c>
      <c r="Y29" s="32">
        <f t="shared" ref="Y29:Y40" si="27">D29*95/100</f>
        <v>707545.50300000003</v>
      </c>
      <c r="Z29" s="32">
        <f t="shared" ref="Z29:Z40" si="28">Y29*0.65/100</f>
        <v>4599.0457695000005</v>
      </c>
      <c r="AA29" s="32">
        <f t="shared" ref="AA29:AA40" si="29">Z29*18/100</f>
        <v>827.82823851000012</v>
      </c>
      <c r="AB29" s="32">
        <f t="shared" ref="AB29:AB40" si="30">Z29+AA29</f>
        <v>5426.8740080100006</v>
      </c>
      <c r="AP29" s="31">
        <v>905638</v>
      </c>
      <c r="AQ29" s="31">
        <v>958701</v>
      </c>
      <c r="AR29" s="32">
        <f t="shared" ref="AR29:AR40" si="31">+AP29-W29</f>
        <v>-11704.215136035113</v>
      </c>
      <c r="AS29" s="32">
        <f t="shared" ref="AS29:AS40" si="32">+AQ29-X29</f>
        <v>-9163.8455720350612</v>
      </c>
    </row>
    <row r="30" spans="1:45" ht="15.75" thickBot="1">
      <c r="A30" s="220"/>
      <c r="B30" s="185"/>
      <c r="C30" s="71" t="s">
        <v>27</v>
      </c>
      <c r="D30" s="72">
        <v>748784.73</v>
      </c>
      <c r="E30" s="105">
        <f t="shared" si="18"/>
        <v>33107.409784702926</v>
      </c>
      <c r="F30" s="72">
        <f t="shared" si="19"/>
        <v>100788.855198</v>
      </c>
      <c r="G30" s="72">
        <v>600</v>
      </c>
      <c r="H30" s="72">
        <v>3199</v>
      </c>
      <c r="I30" s="73">
        <f t="shared" ref="I30:I40" si="33">D30+E30+F30+H30+G30</f>
        <v>886479.99498270289</v>
      </c>
      <c r="J30" s="72">
        <f t="shared" si="20"/>
        <v>748784.73</v>
      </c>
      <c r="K30" s="106">
        <f t="shared" si="21"/>
        <v>30452.409784702933</v>
      </c>
      <c r="L30" s="75">
        <f t="shared" si="22"/>
        <v>154252.08491999999</v>
      </c>
      <c r="M30" s="75">
        <v>600</v>
      </c>
      <c r="N30" s="72">
        <v>3199</v>
      </c>
      <c r="O30" s="73">
        <f t="shared" ref="O30:O40" si="34">J30+K30+L30+N30+M30</f>
        <v>937288.22470470285</v>
      </c>
      <c r="P30" s="75">
        <v>8804</v>
      </c>
      <c r="Q30" s="75">
        <v>4834</v>
      </c>
      <c r="R30" s="75">
        <v>7000</v>
      </c>
      <c r="S30" s="75">
        <f t="shared" si="23"/>
        <v>5456.0199351450001</v>
      </c>
      <c r="T30" s="75">
        <f t="shared" si="24"/>
        <v>5456.0199351450001</v>
      </c>
      <c r="U30" s="75">
        <f t="shared" si="13"/>
        <v>1426.9590599610001</v>
      </c>
      <c r="V30" s="75">
        <v>7999</v>
      </c>
      <c r="W30" s="73">
        <f t="shared" ref="W30:W40" si="35">I30+P30+Q30+S30+V30+R30+U30</f>
        <v>921999.97397780896</v>
      </c>
      <c r="X30" s="84">
        <f t="shared" ref="X30:X40" si="36">O30+P30+Q30+T30+V30+R30+U30</f>
        <v>972808.20369980892</v>
      </c>
      <c r="Y30" s="32">
        <f t="shared" si="27"/>
        <v>711345.49349999998</v>
      </c>
      <c r="Z30" s="32">
        <f t="shared" si="28"/>
        <v>4623.7457077500003</v>
      </c>
      <c r="AA30" s="32">
        <f t="shared" si="29"/>
        <v>832.27422739500003</v>
      </c>
      <c r="AB30" s="32">
        <f t="shared" si="30"/>
        <v>5456.0199351450001</v>
      </c>
      <c r="AP30" s="31">
        <v>910295</v>
      </c>
      <c r="AQ30" s="31">
        <v>963643</v>
      </c>
      <c r="AR30" s="32">
        <f t="shared" si="31"/>
        <v>-11704.973977808957</v>
      </c>
      <c r="AS30" s="32">
        <f t="shared" si="32"/>
        <v>-9165.203699808917</v>
      </c>
    </row>
    <row r="31" spans="1:45" ht="15.75" thickBot="1">
      <c r="A31" s="220"/>
      <c r="B31" s="185" t="s">
        <v>45</v>
      </c>
      <c r="C31" s="71" t="s">
        <v>26</v>
      </c>
      <c r="D31" s="72">
        <v>813795.72</v>
      </c>
      <c r="E31" s="105">
        <f t="shared" si="18"/>
        <v>34579.936113585769</v>
      </c>
      <c r="F31" s="72">
        <f t="shared" si="19"/>
        <v>109409.31247200001</v>
      </c>
      <c r="G31" s="72">
        <v>600</v>
      </c>
      <c r="H31" s="72">
        <v>3199</v>
      </c>
      <c r="I31" s="73">
        <f t="shared" si="33"/>
        <v>961583.96858558571</v>
      </c>
      <c r="J31" s="72">
        <f t="shared" si="20"/>
        <v>813795.72</v>
      </c>
      <c r="K31" s="106">
        <f t="shared" si="21"/>
        <v>31924.936113585758</v>
      </c>
      <c r="L31" s="75">
        <f t="shared" si="22"/>
        <v>167514.32687999998</v>
      </c>
      <c r="M31" s="75">
        <v>600</v>
      </c>
      <c r="N31" s="72">
        <v>3199</v>
      </c>
      <c r="O31" s="73">
        <f t="shared" si="34"/>
        <v>1017033.9829935856</v>
      </c>
      <c r="P31" s="75">
        <v>8804</v>
      </c>
      <c r="Q31" s="75">
        <v>4834</v>
      </c>
      <c r="R31" s="75">
        <v>7000</v>
      </c>
      <c r="S31" s="75">
        <f t="shared" si="23"/>
        <v>5929.7225137799996</v>
      </c>
      <c r="T31" s="75">
        <f t="shared" si="24"/>
        <v>5929.7225137799996</v>
      </c>
      <c r="U31" s="75">
        <f t="shared" si="13"/>
        <v>1550.8505036039996</v>
      </c>
      <c r="V31" s="75">
        <v>7999</v>
      </c>
      <c r="W31" s="73">
        <f t="shared" si="35"/>
        <v>997701.54160296975</v>
      </c>
      <c r="X31" s="84">
        <f t="shared" si="36"/>
        <v>1053151.5560109694</v>
      </c>
      <c r="Y31" s="32">
        <f t="shared" si="27"/>
        <v>773105.93399999989</v>
      </c>
      <c r="Z31" s="32">
        <f t="shared" si="28"/>
        <v>5025.1885709999997</v>
      </c>
      <c r="AA31" s="32">
        <f t="shared" si="29"/>
        <v>904.53394277999996</v>
      </c>
      <c r="AB31" s="32">
        <f t="shared" si="30"/>
        <v>5929.7225137799996</v>
      </c>
      <c r="AP31" s="31">
        <v>985997</v>
      </c>
      <c r="AQ31" s="31">
        <v>1043987</v>
      </c>
      <c r="AR31" s="32">
        <f t="shared" si="31"/>
        <v>-11704.541602969752</v>
      </c>
      <c r="AS31" s="32">
        <f t="shared" si="32"/>
        <v>-9164.5560109694488</v>
      </c>
    </row>
    <row r="32" spans="1:45" ht="15.75" thickBot="1">
      <c r="A32" s="220"/>
      <c r="B32" s="185"/>
      <c r="C32" s="71" t="s">
        <v>27</v>
      </c>
      <c r="D32" s="72">
        <v>817795.73</v>
      </c>
      <c r="E32" s="105">
        <f t="shared" si="18"/>
        <v>34670.538026289978</v>
      </c>
      <c r="F32" s="72">
        <f t="shared" si="19"/>
        <v>109939.713798</v>
      </c>
      <c r="G32" s="72">
        <v>600</v>
      </c>
      <c r="H32" s="72">
        <v>3199</v>
      </c>
      <c r="I32" s="73">
        <f t="shared" si="33"/>
        <v>966204.98182429001</v>
      </c>
      <c r="J32" s="72">
        <f t="shared" si="20"/>
        <v>817795.73</v>
      </c>
      <c r="K32" s="106">
        <f t="shared" si="21"/>
        <v>32015.538026289978</v>
      </c>
      <c r="L32" s="75">
        <f t="shared" si="22"/>
        <v>168330.32892</v>
      </c>
      <c r="M32" s="75">
        <v>600</v>
      </c>
      <c r="N32" s="72">
        <v>3199</v>
      </c>
      <c r="O32" s="73">
        <f t="shared" si="34"/>
        <v>1021940.59694629</v>
      </c>
      <c r="P32" s="75">
        <v>8804</v>
      </c>
      <c r="Q32" s="75">
        <v>4834</v>
      </c>
      <c r="R32" s="75">
        <v>7000</v>
      </c>
      <c r="S32" s="75">
        <f t="shared" si="23"/>
        <v>5958.8685866449996</v>
      </c>
      <c r="T32" s="75">
        <f t="shared" si="24"/>
        <v>5958.8685866449996</v>
      </c>
      <c r="U32" s="75">
        <f t="shared" si="13"/>
        <v>1558.4733226609999</v>
      </c>
      <c r="V32" s="75">
        <v>7999</v>
      </c>
      <c r="W32" s="73">
        <f t="shared" si="35"/>
        <v>1002359.323733596</v>
      </c>
      <c r="X32" s="84">
        <f t="shared" si="36"/>
        <v>1058094.9388555959</v>
      </c>
      <c r="Y32" s="32">
        <f t="shared" si="27"/>
        <v>776905.94349999994</v>
      </c>
      <c r="Z32" s="32">
        <f t="shared" si="28"/>
        <v>5049.8886327499995</v>
      </c>
      <c r="AA32" s="32">
        <f t="shared" si="29"/>
        <v>908.97995389499988</v>
      </c>
      <c r="AB32" s="32">
        <f t="shared" si="30"/>
        <v>5958.8685866449996</v>
      </c>
      <c r="AP32" s="31">
        <v>990655</v>
      </c>
      <c r="AQ32" s="31">
        <v>1048931</v>
      </c>
      <c r="AR32" s="32">
        <f t="shared" si="31"/>
        <v>-11704.323733596015</v>
      </c>
      <c r="AS32" s="32">
        <f t="shared" si="32"/>
        <v>-9163.9388555958867</v>
      </c>
    </row>
    <row r="33" spans="1:45" ht="15.75" thickBot="1">
      <c r="A33" s="220"/>
      <c r="B33" s="185" t="s">
        <v>46</v>
      </c>
      <c r="C33" s="71" t="s">
        <v>26</v>
      </c>
      <c r="D33" s="72">
        <v>854500.71</v>
      </c>
      <c r="E33" s="105">
        <f t="shared" si="18"/>
        <v>35501.921296274289</v>
      </c>
      <c r="F33" s="72">
        <f t="shared" si="19"/>
        <v>114806.794146</v>
      </c>
      <c r="G33" s="72">
        <v>600</v>
      </c>
      <c r="H33" s="72">
        <v>3199</v>
      </c>
      <c r="I33" s="73">
        <f t="shared" si="33"/>
        <v>1008608.4254422742</v>
      </c>
      <c r="J33" s="72">
        <f t="shared" si="20"/>
        <v>854500.71</v>
      </c>
      <c r="K33" s="106">
        <f t="shared" si="21"/>
        <v>32846.921296274289</v>
      </c>
      <c r="L33" s="75">
        <f t="shared" si="22"/>
        <v>175818.14483999999</v>
      </c>
      <c r="M33" s="75">
        <v>600</v>
      </c>
      <c r="N33" s="72">
        <v>3199</v>
      </c>
      <c r="O33" s="73">
        <f t="shared" si="34"/>
        <v>1066964.7761362742</v>
      </c>
      <c r="P33" s="75">
        <v>8804</v>
      </c>
      <c r="Q33" s="75">
        <v>4834</v>
      </c>
      <c r="R33" s="75">
        <v>7000</v>
      </c>
      <c r="S33" s="75">
        <f t="shared" si="23"/>
        <v>6226.3194234150005</v>
      </c>
      <c r="T33" s="75">
        <f t="shared" si="24"/>
        <v>6226.3194234150005</v>
      </c>
      <c r="U33" s="75">
        <f t="shared" si="13"/>
        <v>1628.4220030469999</v>
      </c>
      <c r="V33" s="75">
        <v>7999</v>
      </c>
      <c r="W33" s="73">
        <f t="shared" si="35"/>
        <v>1045100.1668687362</v>
      </c>
      <c r="X33" s="84">
        <f t="shared" si="36"/>
        <v>1103456.5175627363</v>
      </c>
      <c r="Y33" s="32">
        <f t="shared" si="27"/>
        <v>811775.67450000008</v>
      </c>
      <c r="Z33" s="32">
        <f t="shared" si="28"/>
        <v>5276.5418842500003</v>
      </c>
      <c r="AA33" s="32">
        <f t="shared" si="29"/>
        <v>949.77753916500001</v>
      </c>
      <c r="AB33" s="32">
        <f t="shared" si="30"/>
        <v>6226.3194234150005</v>
      </c>
      <c r="AP33" s="31">
        <v>1033396</v>
      </c>
      <c r="AQ33" s="31">
        <v>1094292</v>
      </c>
      <c r="AR33" s="32">
        <f t="shared" si="31"/>
        <v>-11704.166868736153</v>
      </c>
      <c r="AS33" s="32">
        <f t="shared" si="32"/>
        <v>-9164.5175627362914</v>
      </c>
    </row>
    <row r="34" spans="1:45" ht="15.75" thickBot="1">
      <c r="A34" s="220"/>
      <c r="B34" s="185"/>
      <c r="C34" s="71" t="s">
        <v>27</v>
      </c>
      <c r="D34" s="72">
        <v>858500.7</v>
      </c>
      <c r="E34" s="105">
        <f t="shared" si="18"/>
        <v>35592.522755970072</v>
      </c>
      <c r="F34" s="72">
        <f t="shared" si="19"/>
        <v>115337.19282</v>
      </c>
      <c r="G34" s="72">
        <v>600</v>
      </c>
      <c r="H34" s="72">
        <v>3199</v>
      </c>
      <c r="I34" s="73">
        <f t="shared" si="33"/>
        <v>1013229.41557597</v>
      </c>
      <c r="J34" s="72">
        <f t="shared" si="20"/>
        <v>858500.7</v>
      </c>
      <c r="K34" s="106">
        <f t="shared" si="21"/>
        <v>32937.52275597008</v>
      </c>
      <c r="L34" s="75">
        <f t="shared" si="22"/>
        <v>176634.1428</v>
      </c>
      <c r="M34" s="75">
        <v>600</v>
      </c>
      <c r="N34" s="72">
        <v>3199</v>
      </c>
      <c r="O34" s="73">
        <f t="shared" si="34"/>
        <v>1071871.36555597</v>
      </c>
      <c r="P34" s="75">
        <v>8804</v>
      </c>
      <c r="Q34" s="75">
        <v>4834</v>
      </c>
      <c r="R34" s="75">
        <v>7000</v>
      </c>
      <c r="S34" s="75">
        <f t="shared" si="23"/>
        <v>6255.4653505500009</v>
      </c>
      <c r="T34" s="75">
        <f t="shared" si="24"/>
        <v>6255.4653505500009</v>
      </c>
      <c r="U34" s="75">
        <f t="shared" si="13"/>
        <v>1636.0447839899998</v>
      </c>
      <c r="V34" s="75">
        <v>7999</v>
      </c>
      <c r="W34" s="73">
        <f t="shared" si="35"/>
        <v>1049757.92571051</v>
      </c>
      <c r="X34" s="84">
        <f t="shared" si="36"/>
        <v>1108399.8756905098</v>
      </c>
      <c r="Y34" s="32">
        <f t="shared" si="27"/>
        <v>815575.66500000004</v>
      </c>
      <c r="Z34" s="32">
        <f t="shared" si="28"/>
        <v>5301.241822500001</v>
      </c>
      <c r="AA34" s="32">
        <f t="shared" si="29"/>
        <v>954.22352805000014</v>
      </c>
      <c r="AB34" s="32">
        <f t="shared" si="30"/>
        <v>6255.4653505500009</v>
      </c>
      <c r="AP34" s="31">
        <v>1038053</v>
      </c>
      <c r="AQ34" s="31">
        <v>1099235</v>
      </c>
      <c r="AR34" s="32">
        <f t="shared" si="31"/>
        <v>-11704.925710509997</v>
      </c>
      <c r="AS34" s="32">
        <f t="shared" si="32"/>
        <v>-9164.875690509798</v>
      </c>
    </row>
    <row r="35" spans="1:45" ht="15.75" thickBot="1">
      <c r="A35" s="220"/>
      <c r="B35" s="185" t="s">
        <v>47</v>
      </c>
      <c r="C35" s="71" t="s">
        <v>26</v>
      </c>
      <c r="D35" s="72">
        <v>900441.69</v>
      </c>
      <c r="E35" s="105">
        <f t="shared" si="18"/>
        <v>36542.503859694421</v>
      </c>
      <c r="F35" s="72">
        <f t="shared" si="19"/>
        <v>120898.56809399999</v>
      </c>
      <c r="G35" s="72">
        <v>600</v>
      </c>
      <c r="H35" s="72">
        <v>3199</v>
      </c>
      <c r="I35" s="73">
        <f t="shared" si="33"/>
        <v>1061681.7619536943</v>
      </c>
      <c r="J35" s="72">
        <f t="shared" si="20"/>
        <v>900441.69</v>
      </c>
      <c r="K35" s="106">
        <f t="shared" si="21"/>
        <v>33887.503859694421</v>
      </c>
      <c r="L35" s="75">
        <f t="shared" si="22"/>
        <v>185190.10475999996</v>
      </c>
      <c r="M35" s="75">
        <v>600</v>
      </c>
      <c r="N35" s="72">
        <v>3199</v>
      </c>
      <c r="O35" s="73">
        <f t="shared" si="34"/>
        <v>1123318.2986196943</v>
      </c>
      <c r="P35" s="75">
        <v>8804</v>
      </c>
      <c r="Q35" s="75">
        <v>4834</v>
      </c>
      <c r="R35" s="75">
        <v>7000</v>
      </c>
      <c r="S35" s="75">
        <f t="shared" si="23"/>
        <v>6561.0683741849998</v>
      </c>
      <c r="T35" s="75">
        <f t="shared" si="24"/>
        <v>6561.0683741849998</v>
      </c>
      <c r="U35" s="75">
        <f t="shared" si="13"/>
        <v>1715.9717286330001</v>
      </c>
      <c r="V35" s="75">
        <v>7999</v>
      </c>
      <c r="W35" s="73">
        <f t="shared" si="35"/>
        <v>1098595.8020565121</v>
      </c>
      <c r="X35" s="84">
        <f t="shared" si="36"/>
        <v>1160232.3387225121</v>
      </c>
      <c r="Y35" s="32">
        <f t="shared" si="27"/>
        <v>855419.60549999995</v>
      </c>
      <c r="Z35" s="32">
        <f t="shared" si="28"/>
        <v>5560.22743575</v>
      </c>
      <c r="AA35" s="32">
        <f t="shared" si="29"/>
        <v>1000.840938435</v>
      </c>
      <c r="AB35" s="32">
        <f t="shared" si="30"/>
        <v>6561.0683741849998</v>
      </c>
      <c r="AP35" s="31">
        <v>1086891</v>
      </c>
      <c r="AQ35" s="31">
        <v>1151068</v>
      </c>
      <c r="AR35" s="32">
        <f t="shared" si="31"/>
        <v>-11704.802056512097</v>
      </c>
      <c r="AS35" s="32">
        <f t="shared" si="32"/>
        <v>-9164.338722512126</v>
      </c>
    </row>
    <row r="36" spans="1:45" ht="15.75" thickBot="1">
      <c r="A36" s="220"/>
      <c r="B36" s="185"/>
      <c r="C36" s="71" t="s">
        <v>27</v>
      </c>
      <c r="D36" s="72">
        <v>904441.69</v>
      </c>
      <c r="E36" s="105">
        <f t="shared" si="18"/>
        <v>36633.105545894417</v>
      </c>
      <c r="F36" s="72">
        <f t="shared" si="19"/>
        <v>121428.96809399998</v>
      </c>
      <c r="G36" s="72">
        <v>600</v>
      </c>
      <c r="H36" s="72">
        <v>3199</v>
      </c>
      <c r="I36" s="73">
        <f t="shared" si="33"/>
        <v>1066302.7636398943</v>
      </c>
      <c r="J36" s="72">
        <f t="shared" si="20"/>
        <v>904441.69</v>
      </c>
      <c r="K36" s="106">
        <f t="shared" si="21"/>
        <v>33978.105545894417</v>
      </c>
      <c r="L36" s="75">
        <f t="shared" si="22"/>
        <v>186006.10475999996</v>
      </c>
      <c r="M36" s="75">
        <v>600</v>
      </c>
      <c r="N36" s="72">
        <v>3199</v>
      </c>
      <c r="O36" s="73">
        <f t="shared" si="34"/>
        <v>1128224.9003058944</v>
      </c>
      <c r="P36" s="75">
        <v>8804</v>
      </c>
      <c r="Q36" s="75">
        <v>4834</v>
      </c>
      <c r="R36" s="75">
        <v>7000</v>
      </c>
      <c r="S36" s="75">
        <f t="shared" si="23"/>
        <v>6590.2143741849995</v>
      </c>
      <c r="T36" s="75">
        <f t="shared" si="24"/>
        <v>6590.2143741849995</v>
      </c>
      <c r="U36" s="75">
        <f t="shared" si="13"/>
        <v>1723.5945286329998</v>
      </c>
      <c r="V36" s="75">
        <v>7999</v>
      </c>
      <c r="W36" s="73">
        <f t="shared" si="35"/>
        <v>1103253.5725427123</v>
      </c>
      <c r="X36" s="84">
        <f t="shared" si="36"/>
        <v>1165175.7092087124</v>
      </c>
      <c r="Y36" s="32">
        <f t="shared" si="27"/>
        <v>859219.60549999995</v>
      </c>
      <c r="Z36" s="32">
        <f t="shared" si="28"/>
        <v>5584.9274357499999</v>
      </c>
      <c r="AA36" s="32">
        <f t="shared" si="29"/>
        <v>1005.2869384349999</v>
      </c>
      <c r="AB36" s="32">
        <f t="shared" si="30"/>
        <v>6590.2143741849995</v>
      </c>
      <c r="AP36" s="31">
        <v>1091550</v>
      </c>
      <c r="AQ36" s="31">
        <v>1156013</v>
      </c>
      <c r="AR36" s="32">
        <f t="shared" si="31"/>
        <v>-11703.572542712325</v>
      </c>
      <c r="AS36" s="32">
        <f t="shared" si="32"/>
        <v>-9162.7092087124474</v>
      </c>
    </row>
    <row r="37" spans="1:45" ht="15.75" thickBot="1">
      <c r="A37" s="220"/>
      <c r="B37" s="185" t="s">
        <v>119</v>
      </c>
      <c r="C37" s="71" t="s">
        <v>26</v>
      </c>
      <c r="D37" s="72">
        <v>905441.69</v>
      </c>
      <c r="E37" s="105">
        <f t="shared" si="18"/>
        <v>36655.755967444413</v>
      </c>
      <c r="F37" s="72">
        <f t="shared" si="19"/>
        <v>121561.56809399999</v>
      </c>
      <c r="G37" s="72">
        <v>600</v>
      </c>
      <c r="H37" s="72">
        <v>3199</v>
      </c>
      <c r="I37" s="73">
        <f t="shared" si="33"/>
        <v>1067458.0140614444</v>
      </c>
      <c r="J37" s="72">
        <f>D37</f>
        <v>905441.69</v>
      </c>
      <c r="K37" s="106">
        <f t="shared" si="21"/>
        <v>34000.755967444413</v>
      </c>
      <c r="L37" s="75">
        <f t="shared" si="22"/>
        <v>186210.10475999996</v>
      </c>
      <c r="M37" s="75">
        <v>600</v>
      </c>
      <c r="N37" s="72">
        <v>3199</v>
      </c>
      <c r="O37" s="73">
        <f t="shared" si="34"/>
        <v>1129451.5507274442</v>
      </c>
      <c r="P37" s="75">
        <v>8804</v>
      </c>
      <c r="Q37" s="75">
        <v>4834</v>
      </c>
      <c r="R37" s="75">
        <v>7000</v>
      </c>
      <c r="S37" s="75">
        <f>AB37</f>
        <v>6597.5008741849997</v>
      </c>
      <c r="T37" s="75">
        <f>AB37</f>
        <v>6597.5008741849997</v>
      </c>
      <c r="U37" s="75">
        <f t="shared" si="13"/>
        <v>1725.5002286329998</v>
      </c>
      <c r="V37" s="75">
        <v>7999</v>
      </c>
      <c r="W37" s="73">
        <f t="shared" si="35"/>
        <v>1104418.0151642624</v>
      </c>
      <c r="X37" s="84">
        <f t="shared" si="36"/>
        <v>1166411.5518302622</v>
      </c>
      <c r="Y37" s="32">
        <f>D37*95/100</f>
        <v>860169.60549999995</v>
      </c>
      <c r="Z37" s="32">
        <f>Y37*0.65/100</f>
        <v>5591.10243575</v>
      </c>
      <c r="AA37" s="32">
        <f>Z37*18/100</f>
        <v>1006.398438435</v>
      </c>
      <c r="AB37" s="32">
        <f>Z37+AA37</f>
        <v>6597.5008741849997</v>
      </c>
      <c r="AP37" s="31">
        <v>1092714</v>
      </c>
      <c r="AQ37" s="31">
        <v>1157248</v>
      </c>
      <c r="AR37" s="32">
        <f t="shared" si="31"/>
        <v>-11704.015164262382</v>
      </c>
      <c r="AS37" s="32">
        <f t="shared" si="32"/>
        <v>-9163.5518302621786</v>
      </c>
    </row>
    <row r="38" spans="1:45" ht="15.75" thickBot="1">
      <c r="A38" s="220"/>
      <c r="B38" s="185"/>
      <c r="C38" s="71" t="s">
        <v>27</v>
      </c>
      <c r="D38" s="72">
        <v>909441.67</v>
      </c>
      <c r="E38" s="105">
        <f t="shared" si="18"/>
        <v>36746.35720063599</v>
      </c>
      <c r="F38" s="72">
        <f t="shared" si="19"/>
        <v>122091.965442</v>
      </c>
      <c r="G38" s="72">
        <v>600</v>
      </c>
      <c r="H38" s="72">
        <v>3199</v>
      </c>
      <c r="I38" s="73">
        <f t="shared" si="33"/>
        <v>1072078.9926426359</v>
      </c>
      <c r="J38" s="72">
        <f>D38</f>
        <v>909441.67</v>
      </c>
      <c r="K38" s="106">
        <f t="shared" si="21"/>
        <v>34091.35720063599</v>
      </c>
      <c r="L38" s="75">
        <f t="shared" si="22"/>
        <v>187026.10068000003</v>
      </c>
      <c r="M38" s="75">
        <v>600</v>
      </c>
      <c r="N38" s="72">
        <v>3199</v>
      </c>
      <c r="O38" s="73">
        <f t="shared" si="34"/>
        <v>1134358.1278806361</v>
      </c>
      <c r="P38" s="75">
        <v>8804</v>
      </c>
      <c r="Q38" s="75">
        <v>4834</v>
      </c>
      <c r="R38" s="75">
        <v>7000</v>
      </c>
      <c r="S38" s="75">
        <f>AB38</f>
        <v>6626.6467284550008</v>
      </c>
      <c r="T38" s="75">
        <f>AB38</f>
        <v>6626.6467284550008</v>
      </c>
      <c r="U38" s="75">
        <f t="shared" si="13"/>
        <v>1733.122990519</v>
      </c>
      <c r="V38" s="75">
        <v>7999</v>
      </c>
      <c r="W38" s="73">
        <f t="shared" si="35"/>
        <v>1109075.7623616101</v>
      </c>
      <c r="X38" s="84">
        <f t="shared" si="36"/>
        <v>1171354.8975996103</v>
      </c>
      <c r="Y38" s="32">
        <f>D38*95/100</f>
        <v>863969.58650000009</v>
      </c>
      <c r="Z38" s="32">
        <f>Y38*0.65/100</f>
        <v>5615.8023122500008</v>
      </c>
      <c r="AA38" s="32">
        <f>Z38*18/100</f>
        <v>1010.8444162050001</v>
      </c>
      <c r="AB38" s="32">
        <f>Z38+AA38</f>
        <v>6626.6467284550008</v>
      </c>
      <c r="AP38" s="31">
        <v>1097370</v>
      </c>
      <c r="AQ38" s="31">
        <v>1162189</v>
      </c>
      <c r="AR38" s="32">
        <f t="shared" si="31"/>
        <v>-11705.762361610075</v>
      </c>
      <c r="AS38" s="32">
        <f t="shared" si="32"/>
        <v>-9165.8975996102672</v>
      </c>
    </row>
    <row r="39" spans="1:45" ht="15.75" thickBot="1">
      <c r="A39" s="220"/>
      <c r="B39" s="185" t="s">
        <v>48</v>
      </c>
      <c r="C39" s="71" t="s">
        <v>26</v>
      </c>
      <c r="D39" s="72">
        <v>942987.68</v>
      </c>
      <c r="E39" s="105">
        <f t="shared" si="18"/>
        <v>37506.188468456501</v>
      </c>
      <c r="F39" s="72">
        <f t="shared" si="19"/>
        <v>126540.16636800001</v>
      </c>
      <c r="G39" s="72">
        <v>600</v>
      </c>
      <c r="H39" s="72">
        <v>3199</v>
      </c>
      <c r="I39" s="73">
        <f t="shared" si="33"/>
        <v>1110833.0348364566</v>
      </c>
      <c r="J39" s="72">
        <f t="shared" si="20"/>
        <v>942987.68</v>
      </c>
      <c r="K39" s="106">
        <f t="shared" si="21"/>
        <v>34851.188468456501</v>
      </c>
      <c r="L39" s="72">
        <f t="shared" si="22"/>
        <v>193869.48672000002</v>
      </c>
      <c r="M39" s="75">
        <v>600</v>
      </c>
      <c r="N39" s="72">
        <v>3199</v>
      </c>
      <c r="O39" s="73">
        <f t="shared" si="34"/>
        <v>1175507.3551884566</v>
      </c>
      <c r="P39" s="75">
        <v>8804</v>
      </c>
      <c r="Q39" s="75">
        <v>4834</v>
      </c>
      <c r="R39" s="75">
        <v>7000</v>
      </c>
      <c r="S39" s="75">
        <f t="shared" si="23"/>
        <v>6871.0797303200015</v>
      </c>
      <c r="T39" s="72">
        <f t="shared" si="24"/>
        <v>6871.0797303200015</v>
      </c>
      <c r="U39" s="75">
        <f t="shared" si="13"/>
        <v>1797.0516217759998</v>
      </c>
      <c r="V39" s="75">
        <v>7999</v>
      </c>
      <c r="W39" s="73">
        <f t="shared" si="35"/>
        <v>1148138.1661885527</v>
      </c>
      <c r="X39" s="84">
        <f t="shared" si="36"/>
        <v>1212812.4865405527</v>
      </c>
      <c r="Y39" s="32">
        <f t="shared" si="27"/>
        <v>895838.29600000009</v>
      </c>
      <c r="Z39" s="32">
        <f t="shared" si="28"/>
        <v>5822.9489240000012</v>
      </c>
      <c r="AA39" s="32">
        <f t="shared" si="29"/>
        <v>1048.1308063200004</v>
      </c>
      <c r="AB39" s="32">
        <f t="shared" si="30"/>
        <v>6871.0797303200015</v>
      </c>
      <c r="AP39" s="31">
        <v>1136434</v>
      </c>
      <c r="AQ39" s="31">
        <v>1203645</v>
      </c>
      <c r="AR39" s="32">
        <f t="shared" si="31"/>
        <v>-11704.166188552743</v>
      </c>
      <c r="AS39" s="32">
        <f t="shared" si="32"/>
        <v>-9167.4865405526944</v>
      </c>
    </row>
    <row r="40" spans="1:45" ht="15.75" thickBot="1">
      <c r="A40" s="221"/>
      <c r="B40" s="186"/>
      <c r="C40" s="85" t="s">
        <v>27</v>
      </c>
      <c r="D40" s="86">
        <v>946987.67</v>
      </c>
      <c r="E40" s="105">
        <f t="shared" si="18"/>
        <v>37596.789928152291</v>
      </c>
      <c r="F40" s="86">
        <f t="shared" si="19"/>
        <v>127070.565042</v>
      </c>
      <c r="G40" s="86">
        <v>600</v>
      </c>
      <c r="H40" s="86">
        <v>3199</v>
      </c>
      <c r="I40" s="88">
        <f t="shared" si="33"/>
        <v>1115454.0249701524</v>
      </c>
      <c r="J40" s="86">
        <f t="shared" si="20"/>
        <v>946987.67</v>
      </c>
      <c r="K40" s="107">
        <f t="shared" si="21"/>
        <v>34941.789928152291</v>
      </c>
      <c r="L40" s="86">
        <f t="shared" si="22"/>
        <v>194685.48468000002</v>
      </c>
      <c r="M40" s="89">
        <v>600</v>
      </c>
      <c r="N40" s="86">
        <v>3199</v>
      </c>
      <c r="O40" s="88">
        <f t="shared" si="34"/>
        <v>1180413.9446081524</v>
      </c>
      <c r="P40" s="89">
        <v>8804</v>
      </c>
      <c r="Q40" s="89">
        <v>4834</v>
      </c>
      <c r="R40" s="89">
        <v>7000</v>
      </c>
      <c r="S40" s="89">
        <f t="shared" si="23"/>
        <v>6900.2256574550001</v>
      </c>
      <c r="T40" s="86">
        <f t="shared" si="24"/>
        <v>6900.2256574550001</v>
      </c>
      <c r="U40" s="89">
        <f t="shared" si="13"/>
        <v>1804.6744027190002</v>
      </c>
      <c r="V40" s="86">
        <v>7999</v>
      </c>
      <c r="W40" s="88">
        <f t="shared" si="35"/>
        <v>1152795.9250303262</v>
      </c>
      <c r="X40" s="101">
        <f t="shared" si="36"/>
        <v>1217755.8446683262</v>
      </c>
      <c r="Y40" s="32">
        <f t="shared" si="27"/>
        <v>899638.28650000005</v>
      </c>
      <c r="Z40" s="32">
        <f t="shared" si="28"/>
        <v>5847.6488622500001</v>
      </c>
      <c r="AA40" s="32">
        <f t="shared" si="29"/>
        <v>1052.5767952050001</v>
      </c>
      <c r="AB40" s="32">
        <f t="shared" si="30"/>
        <v>6900.2256574550001</v>
      </c>
      <c r="AP40" s="31">
        <v>1141092</v>
      </c>
      <c r="AQ40" s="31">
        <v>1208592</v>
      </c>
      <c r="AR40" s="32">
        <f t="shared" si="31"/>
        <v>-11703.925030326238</v>
      </c>
      <c r="AS40" s="32">
        <f t="shared" si="32"/>
        <v>-9163.8446683262009</v>
      </c>
    </row>
    <row r="41" spans="1:45" ht="15.75" thickBot="1"/>
    <row r="42" spans="1:45" ht="15.75" thickBot="1">
      <c r="A42" s="188" t="s">
        <v>102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</row>
    <row r="43" spans="1:45" ht="15.75" thickBot="1">
      <c r="A43" s="225" t="s">
        <v>4</v>
      </c>
      <c r="B43" s="191" t="s">
        <v>5</v>
      </c>
      <c r="C43" s="191"/>
      <c r="D43" s="193" t="s">
        <v>6</v>
      </c>
      <c r="E43" s="193"/>
      <c r="F43" s="193"/>
      <c r="G43" s="193"/>
      <c r="H43" s="193"/>
      <c r="I43" s="193"/>
      <c r="J43" s="194" t="s">
        <v>7</v>
      </c>
      <c r="K43" s="194"/>
      <c r="L43" s="194"/>
      <c r="M43" s="194"/>
      <c r="N43" s="194"/>
      <c r="O43" s="194"/>
      <c r="P43" s="195" t="s">
        <v>8</v>
      </c>
      <c r="Q43" s="195"/>
      <c r="R43" s="195"/>
      <c r="S43" s="195"/>
      <c r="T43" s="195"/>
      <c r="U43" s="195"/>
      <c r="V43" s="195"/>
      <c r="W43" s="227" t="s">
        <v>9</v>
      </c>
      <c r="X43" s="227"/>
    </row>
    <row r="44" spans="1:45" ht="64.5" thickBot="1">
      <c r="A44" s="226"/>
      <c r="B44" s="192"/>
      <c r="C44" s="192"/>
      <c r="D44" s="3" t="s">
        <v>10</v>
      </c>
      <c r="E44" s="3" t="s">
        <v>11</v>
      </c>
      <c r="F44" s="4" t="s">
        <v>12</v>
      </c>
      <c r="G44" s="4" t="s">
        <v>133</v>
      </c>
      <c r="H44" s="4" t="s">
        <v>13</v>
      </c>
      <c r="I44" s="4" t="s">
        <v>14</v>
      </c>
      <c r="J44" s="3" t="s">
        <v>10</v>
      </c>
      <c r="K44" s="3" t="s">
        <v>15</v>
      </c>
      <c r="L44" s="4" t="s">
        <v>12</v>
      </c>
      <c r="M44" s="4" t="s">
        <v>133</v>
      </c>
      <c r="N44" s="4" t="s">
        <v>13</v>
      </c>
      <c r="O44" s="4" t="s">
        <v>14</v>
      </c>
      <c r="P44" s="5" t="s">
        <v>16</v>
      </c>
      <c r="Q44" s="13" t="s">
        <v>17</v>
      </c>
      <c r="R44" s="5" t="s">
        <v>18</v>
      </c>
      <c r="S44" s="5" t="s">
        <v>19</v>
      </c>
      <c r="T44" s="5" t="s">
        <v>20</v>
      </c>
      <c r="U44" s="5" t="s">
        <v>139</v>
      </c>
      <c r="V44" s="5" t="s">
        <v>21</v>
      </c>
      <c r="W44" s="5" t="s">
        <v>22</v>
      </c>
      <c r="X44" s="5" t="s">
        <v>23</v>
      </c>
    </row>
    <row r="45" spans="1:45" ht="15.75" thickBot="1">
      <c r="A45" s="222" t="s">
        <v>43</v>
      </c>
      <c r="B45" s="184" t="s">
        <v>44</v>
      </c>
      <c r="C45" s="78" t="s">
        <v>26</v>
      </c>
      <c r="D45" s="79">
        <v>606432.79</v>
      </c>
      <c r="E45" s="105">
        <f t="shared" ref="E45:E75" si="37">((D45*95%*3.283%)-((D45*95%*3.283%)*40%)+13434)+((D45*95%*3.283%)-((D45*95%*3.283%)*40%)+13434)*18%+(D45*95%*0.1%+250)+(D45*95%*0.1%+250)*18%-IF((((D45*95%*3.283%)-((D45*95%*3.283%)*40%))*2.5%)&gt;500,500,(((D45*95%*3.283%)-((D45*95%*3.283%)*40%))*2.5%))-IF((((D45*95%*3.283%)-((D45*95%*3.283%)*40%))*2.5%)&gt;500,500,(((D45*95%*3.283%)-((D45*95%*3.283%)*40%))*2.5%))*18%</f>
        <v>29883.078335242622</v>
      </c>
      <c r="F45" s="79">
        <f t="shared" ref="F45:F62" si="38">(D45*11/100)+(D45*11/100)*2/100+1500</f>
        <v>69541.759038000004</v>
      </c>
      <c r="G45" s="79">
        <v>600</v>
      </c>
      <c r="H45" s="79">
        <v>3199</v>
      </c>
      <c r="I45" s="80">
        <f>D45+E45+F45+H45+G45</f>
        <v>709656.62737324263</v>
      </c>
      <c r="J45" s="79">
        <f t="shared" ref="J45:J62" si="39">D45</f>
        <v>606432.79</v>
      </c>
      <c r="K45" s="105">
        <f t="shared" ref="K45:K62" si="40">((J45*95%*3.191%)-((J45*95%*3.191%)*40%)+11184)+((J45*95%*3.191%)-((J45*95%*3.191%)*40%)+11184)*18%+(J45*95%*0.1%+250)+(J45*95%*0.1%+250)*18%-IF((((J45*95%*3.191%)-((J45*95%*3.191%)*40%))*2.5%)&gt;500,500,(((J45*95%*3.191%)-((J45*95%*3.191%)*40%))*2.5%))-IF((((J45*95%*3.191%)-((J45*95%*3.191%)*40%))*2.5%)&gt;500,500,(((J45*95%*3.191%)-((J45*95%*3.191%)*40%))*2.5%))*18%</f>
        <v>26862.203970227685</v>
      </c>
      <c r="L45" s="82">
        <f t="shared" ref="L45:L62" si="41">(J45*20/100)+(J45*20/100)*2/100+1500</f>
        <v>125212.28916</v>
      </c>
      <c r="M45" s="82">
        <v>600</v>
      </c>
      <c r="N45" s="79">
        <v>3199</v>
      </c>
      <c r="O45" s="80">
        <f>J45+K45+L45+N45+M45</f>
        <v>762306.28313022782</v>
      </c>
      <c r="P45" s="82">
        <v>7458</v>
      </c>
      <c r="Q45" s="82">
        <v>4834</v>
      </c>
      <c r="R45" s="82">
        <v>7000</v>
      </c>
      <c r="S45" s="82">
        <f t="shared" ref="S45:S62" si="42">AB45</f>
        <v>4418.7725243350005</v>
      </c>
      <c r="T45" s="82">
        <f t="shared" ref="T45:T62" si="43">AB45</f>
        <v>4418.7725243350005</v>
      </c>
      <c r="U45" s="82">
        <f>((D45*95%)*0.17%)*1.18</f>
        <v>1155.6789679029998</v>
      </c>
      <c r="V45" s="82">
        <v>7999</v>
      </c>
      <c r="W45" s="80">
        <f t="shared" ref="W45" si="44">I45+P45+Q45+S45+V45+R45+U45</f>
        <v>742522.07886548061</v>
      </c>
      <c r="X45" s="83">
        <f t="shared" ref="X45" si="45">O45+P45+Q45+T45+V45+R45+U45</f>
        <v>795171.7346224658</v>
      </c>
      <c r="Y45" s="32">
        <f t="shared" ref="Y45:Y62" si="46">D45*95/100</f>
        <v>576111.15049999999</v>
      </c>
      <c r="Z45" s="32">
        <f t="shared" ref="Z45:Z62" si="47">Y45*0.65/100</f>
        <v>3744.7224782500002</v>
      </c>
      <c r="AA45" s="32">
        <f t="shared" ref="AA45:AA62" si="48">Z45*18/100</f>
        <v>674.05004608500008</v>
      </c>
      <c r="AB45" s="32">
        <f t="shared" ref="AB45:AB62" si="49">Z45+AA45</f>
        <v>4418.7725243350005</v>
      </c>
    </row>
    <row r="46" spans="1:45" ht="15.75" thickBot="1">
      <c r="A46" s="223"/>
      <c r="B46" s="185"/>
      <c r="C46" s="71" t="s">
        <v>27</v>
      </c>
      <c r="D46" s="72">
        <v>610432.80000000005</v>
      </c>
      <c r="E46" s="105">
        <f t="shared" si="37"/>
        <v>29973.680247946835</v>
      </c>
      <c r="F46" s="72">
        <f t="shared" si="38"/>
        <v>69990.560160000008</v>
      </c>
      <c r="G46" s="72">
        <v>600</v>
      </c>
      <c r="H46" s="72">
        <v>3199</v>
      </c>
      <c r="I46" s="73">
        <f t="shared" ref="I46:I62" si="50">D46+E46+F46+H46+G46</f>
        <v>714196.04040794692</v>
      </c>
      <c r="J46" s="72">
        <f t="shared" si="39"/>
        <v>610432.80000000005</v>
      </c>
      <c r="K46" s="106">
        <f t="shared" si="40"/>
        <v>26950.392588098679</v>
      </c>
      <c r="L46" s="75">
        <f t="shared" si="41"/>
        <v>126028.29119999999</v>
      </c>
      <c r="M46" s="75">
        <v>600</v>
      </c>
      <c r="N46" s="72">
        <v>3199</v>
      </c>
      <c r="O46" s="73">
        <f t="shared" ref="O46:O62" si="51">J46+K46+L46+N46+M46</f>
        <v>767210.48378809867</v>
      </c>
      <c r="P46" s="75">
        <v>7458</v>
      </c>
      <c r="Q46" s="75">
        <v>4834</v>
      </c>
      <c r="R46" s="75">
        <v>7000</v>
      </c>
      <c r="S46" s="75">
        <f t="shared" si="42"/>
        <v>4447.9185972000005</v>
      </c>
      <c r="T46" s="75">
        <f t="shared" si="43"/>
        <v>4447.9185972000005</v>
      </c>
      <c r="U46" s="75">
        <f t="shared" ref="U46:U75" si="52">((D46*95%)*0.17%)*1.18</f>
        <v>1163.3017869600001</v>
      </c>
      <c r="V46" s="75">
        <v>7999</v>
      </c>
      <c r="W46" s="73">
        <f t="shared" ref="W46:W62" si="53">I46+P46+Q46+S46+V46+R46+U46</f>
        <v>747098.26079210686</v>
      </c>
      <c r="X46" s="84">
        <f t="shared" ref="X46:X62" si="54">O46+P46+Q46+T46+V46+R46+U46</f>
        <v>800112.70417225861</v>
      </c>
      <c r="Y46" s="32">
        <f t="shared" si="46"/>
        <v>579911.16</v>
      </c>
      <c r="Z46" s="32">
        <f t="shared" si="47"/>
        <v>3769.42254</v>
      </c>
      <c r="AA46" s="32">
        <f t="shared" si="48"/>
        <v>678.49605720000011</v>
      </c>
      <c r="AB46" s="32">
        <f t="shared" si="49"/>
        <v>4447.9185972000005</v>
      </c>
    </row>
    <row r="47" spans="1:45" ht="15.75" thickBot="1">
      <c r="A47" s="223"/>
      <c r="B47" s="185" t="s">
        <v>45</v>
      </c>
      <c r="C47" s="71" t="s">
        <v>26</v>
      </c>
      <c r="D47" s="72">
        <v>671033.77</v>
      </c>
      <c r="E47" s="105">
        <f t="shared" si="37"/>
        <v>31346.317764785734</v>
      </c>
      <c r="F47" s="72">
        <f t="shared" si="38"/>
        <v>76789.988994000014</v>
      </c>
      <c r="G47" s="72">
        <v>600</v>
      </c>
      <c r="H47" s="72">
        <v>3199</v>
      </c>
      <c r="I47" s="73">
        <f t="shared" si="50"/>
        <v>782969.07675878576</v>
      </c>
      <c r="J47" s="72">
        <f t="shared" si="39"/>
        <v>671033.77</v>
      </c>
      <c r="K47" s="106">
        <f t="shared" si="40"/>
        <v>28286.468194395042</v>
      </c>
      <c r="L47" s="75">
        <f t="shared" si="41"/>
        <v>138390.88908000002</v>
      </c>
      <c r="M47" s="75">
        <v>600</v>
      </c>
      <c r="N47" s="72">
        <v>3199</v>
      </c>
      <c r="O47" s="73">
        <f t="shared" si="51"/>
        <v>841510.12727439508</v>
      </c>
      <c r="P47" s="75">
        <v>7458</v>
      </c>
      <c r="Q47" s="75">
        <v>4834</v>
      </c>
      <c r="R47" s="75">
        <v>7000</v>
      </c>
      <c r="S47" s="75">
        <f t="shared" si="42"/>
        <v>4889.4875651049997</v>
      </c>
      <c r="T47" s="75">
        <f t="shared" si="43"/>
        <v>4889.4875651049997</v>
      </c>
      <c r="U47" s="75">
        <f t="shared" si="52"/>
        <v>1278.7890554889998</v>
      </c>
      <c r="V47" s="75">
        <v>7999</v>
      </c>
      <c r="W47" s="73">
        <f t="shared" si="53"/>
        <v>816428.35337937973</v>
      </c>
      <c r="X47" s="84">
        <f t="shared" si="54"/>
        <v>874969.40389498905</v>
      </c>
      <c r="Y47" s="32">
        <f t="shared" si="46"/>
        <v>637482.08149999997</v>
      </c>
      <c r="Z47" s="32">
        <f t="shared" si="47"/>
        <v>4143.63352975</v>
      </c>
      <c r="AA47" s="32">
        <f t="shared" si="48"/>
        <v>745.85403535499995</v>
      </c>
      <c r="AB47" s="32">
        <f t="shared" si="49"/>
        <v>4889.4875651049997</v>
      </c>
    </row>
    <row r="48" spans="1:45" ht="15.75" thickBot="1">
      <c r="A48" s="223"/>
      <c r="B48" s="185"/>
      <c r="C48" s="71" t="s">
        <v>27</v>
      </c>
      <c r="D48" s="72">
        <v>675033.77</v>
      </c>
      <c r="E48" s="105">
        <f t="shared" si="37"/>
        <v>31436.919450985741</v>
      </c>
      <c r="F48" s="72">
        <f t="shared" si="38"/>
        <v>77238.788994000017</v>
      </c>
      <c r="G48" s="72">
        <v>600</v>
      </c>
      <c r="H48" s="72">
        <v>3199</v>
      </c>
      <c r="I48" s="73">
        <f t="shared" si="50"/>
        <v>787508.47844498581</v>
      </c>
      <c r="J48" s="72">
        <f t="shared" si="39"/>
        <v>675033.77</v>
      </c>
      <c r="K48" s="106">
        <f t="shared" si="40"/>
        <v>28374.65659179505</v>
      </c>
      <c r="L48" s="75">
        <f t="shared" si="41"/>
        <v>139206.88908000002</v>
      </c>
      <c r="M48" s="75">
        <v>600</v>
      </c>
      <c r="N48" s="72">
        <v>3199</v>
      </c>
      <c r="O48" s="73">
        <f t="shared" si="51"/>
        <v>846414.31567179505</v>
      </c>
      <c r="P48" s="75">
        <v>7458</v>
      </c>
      <c r="Q48" s="75">
        <v>4834</v>
      </c>
      <c r="R48" s="75">
        <v>7000</v>
      </c>
      <c r="S48" s="75">
        <f t="shared" si="42"/>
        <v>4918.6335651049994</v>
      </c>
      <c r="T48" s="75">
        <f t="shared" si="43"/>
        <v>4918.6335651049994</v>
      </c>
      <c r="U48" s="75">
        <f t="shared" si="52"/>
        <v>1286.4118554889999</v>
      </c>
      <c r="V48" s="75">
        <v>7999</v>
      </c>
      <c r="W48" s="73">
        <f t="shared" si="53"/>
        <v>821004.52386557986</v>
      </c>
      <c r="X48" s="84">
        <f t="shared" si="54"/>
        <v>879910.3610923891</v>
      </c>
      <c r="Y48" s="32">
        <f t="shared" si="46"/>
        <v>641282.08149999997</v>
      </c>
      <c r="Z48" s="32">
        <f t="shared" si="47"/>
        <v>4168.3335297499998</v>
      </c>
      <c r="AA48" s="32">
        <f t="shared" si="48"/>
        <v>750.30003535499998</v>
      </c>
      <c r="AB48" s="32">
        <f t="shared" si="49"/>
        <v>4918.6335651049994</v>
      </c>
    </row>
    <row r="49" spans="1:28" ht="15.75" thickBot="1">
      <c r="A49" s="223"/>
      <c r="B49" s="185" t="s">
        <v>46</v>
      </c>
      <c r="C49" s="71" t="s">
        <v>26</v>
      </c>
      <c r="D49" s="72">
        <v>715005.77</v>
      </c>
      <c r="E49" s="105">
        <f t="shared" si="37"/>
        <v>32342.30210118234</v>
      </c>
      <c r="F49" s="72">
        <f t="shared" si="38"/>
        <v>81723.647394000014</v>
      </c>
      <c r="G49" s="72">
        <v>600</v>
      </c>
      <c r="H49" s="72">
        <v>3199</v>
      </c>
      <c r="I49" s="73">
        <f t="shared" si="50"/>
        <v>832870.71949518227</v>
      </c>
      <c r="J49" s="72">
        <f t="shared" si="39"/>
        <v>715005.77</v>
      </c>
      <c r="K49" s="106">
        <f t="shared" si="40"/>
        <v>29255.923247013256</v>
      </c>
      <c r="L49" s="75">
        <f t="shared" si="41"/>
        <v>147361.17708000002</v>
      </c>
      <c r="M49" s="75">
        <v>600</v>
      </c>
      <c r="N49" s="72">
        <v>3199</v>
      </c>
      <c r="O49" s="73">
        <f t="shared" si="51"/>
        <v>895421.87032701331</v>
      </c>
      <c r="P49" s="75">
        <v>7458</v>
      </c>
      <c r="Q49" s="75">
        <v>4834</v>
      </c>
      <c r="R49" s="75">
        <v>7000</v>
      </c>
      <c r="S49" s="75">
        <f t="shared" si="42"/>
        <v>5209.8895431050005</v>
      </c>
      <c r="T49" s="75">
        <f t="shared" si="43"/>
        <v>5209.8895431050005</v>
      </c>
      <c r="U49" s="75">
        <f t="shared" si="52"/>
        <v>1362.5864958890002</v>
      </c>
      <c r="V49" s="75">
        <v>7999</v>
      </c>
      <c r="W49" s="73">
        <f t="shared" si="53"/>
        <v>866734.19553417631</v>
      </c>
      <c r="X49" s="84">
        <f t="shared" si="54"/>
        <v>929285.34636600735</v>
      </c>
      <c r="Y49" s="32">
        <f t="shared" si="46"/>
        <v>679255.48150000011</v>
      </c>
      <c r="Z49" s="32">
        <f t="shared" si="47"/>
        <v>4415.1606297500002</v>
      </c>
      <c r="AA49" s="32">
        <f t="shared" si="48"/>
        <v>794.72891335499992</v>
      </c>
      <c r="AB49" s="32">
        <f t="shared" si="49"/>
        <v>5209.8895431050005</v>
      </c>
    </row>
    <row r="50" spans="1:28" ht="15.75" thickBot="1">
      <c r="A50" s="223"/>
      <c r="B50" s="185"/>
      <c r="C50" s="71" t="s">
        <v>27</v>
      </c>
      <c r="D50" s="72">
        <v>719005.75</v>
      </c>
      <c r="E50" s="105">
        <f t="shared" si="37"/>
        <v>32432.903334373907</v>
      </c>
      <c r="F50" s="72">
        <f t="shared" si="38"/>
        <v>82172.445150000014</v>
      </c>
      <c r="G50" s="72">
        <v>600</v>
      </c>
      <c r="H50" s="72">
        <v>3199</v>
      </c>
      <c r="I50" s="73">
        <f t="shared" si="50"/>
        <v>837410.098484374</v>
      </c>
      <c r="J50" s="72">
        <f t="shared" si="39"/>
        <v>719005.75</v>
      </c>
      <c r="K50" s="106">
        <f t="shared" si="40"/>
        <v>29344.111203471268</v>
      </c>
      <c r="L50" s="75">
        <f t="shared" si="41"/>
        <v>148177.17299999998</v>
      </c>
      <c r="M50" s="75">
        <v>600</v>
      </c>
      <c r="N50" s="72">
        <v>3199</v>
      </c>
      <c r="O50" s="73">
        <f t="shared" si="51"/>
        <v>900326.03420347127</v>
      </c>
      <c r="P50" s="75">
        <v>7458</v>
      </c>
      <c r="Q50" s="75">
        <v>4834</v>
      </c>
      <c r="R50" s="75">
        <v>7000</v>
      </c>
      <c r="S50" s="75">
        <f t="shared" si="42"/>
        <v>5239.0353973749998</v>
      </c>
      <c r="T50" s="75">
        <f t="shared" si="43"/>
        <v>5239.0353973749998</v>
      </c>
      <c r="U50" s="75">
        <f t="shared" si="52"/>
        <v>1370.2092577750002</v>
      </c>
      <c r="V50" s="75">
        <v>7999</v>
      </c>
      <c r="W50" s="73">
        <f t="shared" si="53"/>
        <v>871310.34313952399</v>
      </c>
      <c r="X50" s="84">
        <f t="shared" si="54"/>
        <v>934226.27885862126</v>
      </c>
      <c r="Y50" s="32">
        <f t="shared" si="46"/>
        <v>683055.46250000002</v>
      </c>
      <c r="Z50" s="32">
        <f t="shared" si="47"/>
        <v>4439.8605062500001</v>
      </c>
      <c r="AA50" s="32">
        <f t="shared" si="48"/>
        <v>799.17489112500004</v>
      </c>
      <c r="AB50" s="32">
        <f t="shared" si="49"/>
        <v>5239.0353973749998</v>
      </c>
    </row>
    <row r="51" spans="1:28" ht="15.75" thickBot="1">
      <c r="A51" s="223"/>
      <c r="B51" s="185" t="s">
        <v>47</v>
      </c>
      <c r="C51" s="71" t="s">
        <v>26</v>
      </c>
      <c r="D51" s="72">
        <v>750356.74</v>
      </c>
      <c r="E51" s="105">
        <f t="shared" si="37"/>
        <v>33143.016473883748</v>
      </c>
      <c r="F51" s="72">
        <f t="shared" si="38"/>
        <v>85690.026228000002</v>
      </c>
      <c r="G51" s="72">
        <v>600</v>
      </c>
      <c r="H51" s="72">
        <v>3199</v>
      </c>
      <c r="I51" s="73">
        <f t="shared" si="50"/>
        <v>872988.7827018837</v>
      </c>
      <c r="J51" s="72">
        <f t="shared" si="39"/>
        <v>750356.74</v>
      </c>
      <c r="K51" s="106">
        <f t="shared" si="40"/>
        <v>30035.309594722115</v>
      </c>
      <c r="L51" s="75">
        <f t="shared" si="41"/>
        <v>154572.77496000001</v>
      </c>
      <c r="M51" s="75">
        <v>600</v>
      </c>
      <c r="N51" s="72">
        <v>3199</v>
      </c>
      <c r="O51" s="73">
        <f t="shared" si="51"/>
        <v>938763.82455472206</v>
      </c>
      <c r="P51" s="75">
        <v>7458</v>
      </c>
      <c r="Q51" s="75">
        <v>4834</v>
      </c>
      <c r="R51" s="75">
        <v>7000</v>
      </c>
      <c r="S51" s="75">
        <f t="shared" si="42"/>
        <v>5467.4743860099998</v>
      </c>
      <c r="T51" s="75">
        <f t="shared" si="43"/>
        <v>5467.4743860099998</v>
      </c>
      <c r="U51" s="75">
        <f t="shared" si="52"/>
        <v>1429.9548394179997</v>
      </c>
      <c r="V51" s="75">
        <v>7999</v>
      </c>
      <c r="W51" s="73">
        <f t="shared" si="53"/>
        <v>907177.21192731161</v>
      </c>
      <c r="X51" s="84">
        <f t="shared" si="54"/>
        <v>972952.25378014997</v>
      </c>
      <c r="Y51" s="32">
        <f t="shared" si="46"/>
        <v>712838.90299999993</v>
      </c>
      <c r="Z51" s="32">
        <f t="shared" si="47"/>
        <v>4633.4528694999999</v>
      </c>
      <c r="AA51" s="32">
        <f t="shared" si="48"/>
        <v>834.02151650999997</v>
      </c>
      <c r="AB51" s="32">
        <f t="shared" si="49"/>
        <v>5467.4743860099998</v>
      </c>
    </row>
    <row r="52" spans="1:28" ht="15.75" thickBot="1">
      <c r="A52" s="223"/>
      <c r="B52" s="185"/>
      <c r="C52" s="71" t="s">
        <v>27</v>
      </c>
      <c r="D52" s="72">
        <v>754356.75</v>
      </c>
      <c r="E52" s="105">
        <f t="shared" si="37"/>
        <v>33233.618386587958</v>
      </c>
      <c r="F52" s="72">
        <f t="shared" si="38"/>
        <v>86138.827349999992</v>
      </c>
      <c r="G52" s="72">
        <v>600</v>
      </c>
      <c r="H52" s="72">
        <v>3199</v>
      </c>
      <c r="I52" s="73">
        <f t="shared" si="50"/>
        <v>877528.19573658798</v>
      </c>
      <c r="J52" s="72">
        <f t="shared" si="39"/>
        <v>754356.75</v>
      </c>
      <c r="K52" s="106">
        <f t="shared" si="40"/>
        <v>30123.498212593113</v>
      </c>
      <c r="L52" s="75">
        <f t="shared" si="41"/>
        <v>155388.777</v>
      </c>
      <c r="M52" s="75">
        <v>600</v>
      </c>
      <c r="N52" s="72">
        <v>3199</v>
      </c>
      <c r="O52" s="73">
        <f t="shared" si="51"/>
        <v>943668.02521259314</v>
      </c>
      <c r="P52" s="75">
        <v>7458</v>
      </c>
      <c r="Q52" s="75">
        <v>4834</v>
      </c>
      <c r="R52" s="75">
        <v>7000</v>
      </c>
      <c r="S52" s="75">
        <f t="shared" si="42"/>
        <v>5496.6204588750006</v>
      </c>
      <c r="T52" s="75">
        <f t="shared" si="43"/>
        <v>5496.6204588750006</v>
      </c>
      <c r="U52" s="75">
        <f t="shared" si="52"/>
        <v>1437.5776584750001</v>
      </c>
      <c r="V52" s="75">
        <v>7999</v>
      </c>
      <c r="W52" s="73">
        <f t="shared" si="53"/>
        <v>911753.39385393797</v>
      </c>
      <c r="X52" s="84">
        <f t="shared" si="54"/>
        <v>977893.22332994314</v>
      </c>
      <c r="Y52" s="32">
        <f t="shared" si="46"/>
        <v>716638.91249999998</v>
      </c>
      <c r="Z52" s="32">
        <f t="shared" si="47"/>
        <v>4658.1529312500006</v>
      </c>
      <c r="AA52" s="32">
        <f t="shared" si="48"/>
        <v>838.46752762500012</v>
      </c>
      <c r="AB52" s="32">
        <f t="shared" si="49"/>
        <v>5496.6204588750006</v>
      </c>
    </row>
    <row r="53" spans="1:28" ht="15.75" thickBot="1">
      <c r="A53" s="223"/>
      <c r="B53" s="185" t="s">
        <v>119</v>
      </c>
      <c r="C53" s="71" t="s">
        <v>26</v>
      </c>
      <c r="D53" s="72">
        <v>755356.74</v>
      </c>
      <c r="E53" s="105">
        <f t="shared" si="37"/>
        <v>33256.26858163374</v>
      </c>
      <c r="F53" s="72">
        <f t="shared" si="38"/>
        <v>86251.026228000002</v>
      </c>
      <c r="G53" s="72">
        <v>600</v>
      </c>
      <c r="H53" s="72">
        <v>3199</v>
      </c>
      <c r="I53" s="73">
        <f t="shared" si="50"/>
        <v>878663.03480963362</v>
      </c>
      <c r="J53" s="72">
        <f>D53</f>
        <v>755356.74</v>
      </c>
      <c r="K53" s="106">
        <f t="shared" si="40"/>
        <v>30145.545091472119</v>
      </c>
      <c r="L53" s="75">
        <f t="shared" si="41"/>
        <v>155592.77496000001</v>
      </c>
      <c r="M53" s="75">
        <v>600</v>
      </c>
      <c r="N53" s="72">
        <v>3199</v>
      </c>
      <c r="O53" s="73">
        <f t="shared" si="51"/>
        <v>944894.06005147216</v>
      </c>
      <c r="P53" s="75">
        <v>7458</v>
      </c>
      <c r="Q53" s="75">
        <v>4834</v>
      </c>
      <c r="R53" s="75">
        <v>7000</v>
      </c>
      <c r="S53" s="75">
        <f>AB53</f>
        <v>5503.9068860099997</v>
      </c>
      <c r="T53" s="75">
        <f>AB53</f>
        <v>5503.9068860099997</v>
      </c>
      <c r="U53" s="75">
        <f t="shared" si="52"/>
        <v>1439.4833394179998</v>
      </c>
      <c r="V53" s="75">
        <v>7999</v>
      </c>
      <c r="W53" s="73">
        <f t="shared" si="53"/>
        <v>912897.42503506155</v>
      </c>
      <c r="X53" s="84">
        <f t="shared" si="54"/>
        <v>979128.45027690008</v>
      </c>
      <c r="Y53" s="32">
        <f>D53*95/100</f>
        <v>717588.90299999993</v>
      </c>
      <c r="Z53" s="32">
        <f>Y53*0.65/100</f>
        <v>4664.3278694999999</v>
      </c>
      <c r="AA53" s="32">
        <f>Z53*18/100</f>
        <v>839.57901650999997</v>
      </c>
      <c r="AB53" s="32">
        <f>Z53+AA53</f>
        <v>5503.9068860099997</v>
      </c>
    </row>
    <row r="54" spans="1:28" ht="15.75" thickBot="1">
      <c r="A54" s="223"/>
      <c r="B54" s="185"/>
      <c r="C54" s="71" t="s">
        <v>27</v>
      </c>
      <c r="D54" s="72">
        <v>759356.75</v>
      </c>
      <c r="E54" s="105">
        <f t="shared" si="37"/>
        <v>33346.870494337963</v>
      </c>
      <c r="F54" s="72">
        <f t="shared" si="38"/>
        <v>86699.827349999992</v>
      </c>
      <c r="G54" s="72">
        <v>600</v>
      </c>
      <c r="H54" s="72">
        <v>3199</v>
      </c>
      <c r="I54" s="73">
        <f t="shared" si="50"/>
        <v>883202.44784433802</v>
      </c>
      <c r="J54" s="72">
        <f>D54</f>
        <v>759356.75</v>
      </c>
      <c r="K54" s="106">
        <f t="shared" si="40"/>
        <v>30233.733709343112</v>
      </c>
      <c r="L54" s="75">
        <f t="shared" si="41"/>
        <v>156408.777</v>
      </c>
      <c r="M54" s="75">
        <v>600</v>
      </c>
      <c r="N54" s="72">
        <v>3199</v>
      </c>
      <c r="O54" s="73">
        <f t="shared" si="51"/>
        <v>949798.26070934313</v>
      </c>
      <c r="P54" s="75">
        <v>7458</v>
      </c>
      <c r="Q54" s="75">
        <v>4834</v>
      </c>
      <c r="R54" s="75">
        <v>7000</v>
      </c>
      <c r="S54" s="75">
        <f>AB54</f>
        <v>5533.0529588750005</v>
      </c>
      <c r="T54" s="75">
        <f>AB54</f>
        <v>5533.0529588750005</v>
      </c>
      <c r="U54" s="75">
        <f t="shared" si="52"/>
        <v>1447.106158475</v>
      </c>
      <c r="V54" s="75">
        <v>7999</v>
      </c>
      <c r="W54" s="73">
        <f t="shared" si="53"/>
        <v>917473.60696168803</v>
      </c>
      <c r="X54" s="84">
        <f t="shared" si="54"/>
        <v>984069.41982669313</v>
      </c>
      <c r="Y54" s="32">
        <f>D54*95/100</f>
        <v>721388.91249999998</v>
      </c>
      <c r="Z54" s="32">
        <f>Y54*0.65/100</f>
        <v>4689.0279312500006</v>
      </c>
      <c r="AA54" s="32">
        <f>Z54*18/100</f>
        <v>844.02502762500012</v>
      </c>
      <c r="AB54" s="32">
        <f>Z54+AA54</f>
        <v>5533.0529588750005</v>
      </c>
    </row>
    <row r="55" spans="1:28" ht="15.75" thickBot="1">
      <c r="A55" s="223"/>
      <c r="B55" s="185" t="s">
        <v>48</v>
      </c>
      <c r="C55" s="71" t="s">
        <v>26</v>
      </c>
      <c r="D55" s="72">
        <v>799549.71</v>
      </c>
      <c r="E55" s="105">
        <f t="shared" si="37"/>
        <v>34257.257981680246</v>
      </c>
      <c r="F55" s="72">
        <f t="shared" si="38"/>
        <v>91209.477461999981</v>
      </c>
      <c r="G55" s="72">
        <v>600</v>
      </c>
      <c r="H55" s="72">
        <v>3199</v>
      </c>
      <c r="I55" s="73">
        <f t="shared" si="50"/>
        <v>928815.44544368016</v>
      </c>
      <c r="J55" s="72">
        <f t="shared" si="39"/>
        <v>799549.71</v>
      </c>
      <c r="K55" s="106">
        <f t="shared" si="40"/>
        <v>31119.871891633684</v>
      </c>
      <c r="L55" s="75">
        <f t="shared" si="41"/>
        <v>164608.14083999998</v>
      </c>
      <c r="M55" s="75">
        <v>600</v>
      </c>
      <c r="N55" s="72">
        <v>3199</v>
      </c>
      <c r="O55" s="73">
        <f t="shared" si="51"/>
        <v>999076.72273163369</v>
      </c>
      <c r="P55" s="75">
        <v>7458</v>
      </c>
      <c r="Q55" s="75">
        <v>4834</v>
      </c>
      <c r="R55" s="75">
        <v>7000</v>
      </c>
      <c r="S55" s="75">
        <f t="shared" si="42"/>
        <v>5825.9189619150002</v>
      </c>
      <c r="T55" s="72">
        <f t="shared" si="43"/>
        <v>5825.9189619150002</v>
      </c>
      <c r="U55" s="75">
        <f t="shared" si="52"/>
        <v>1523.7018823469998</v>
      </c>
      <c r="V55" s="75">
        <v>7999</v>
      </c>
      <c r="W55" s="73">
        <f t="shared" si="53"/>
        <v>963456.06628794211</v>
      </c>
      <c r="X55" s="84">
        <f t="shared" si="54"/>
        <v>1033717.3435758956</v>
      </c>
      <c r="Y55" s="32">
        <f t="shared" si="46"/>
        <v>759572.22450000001</v>
      </c>
      <c r="Z55" s="32">
        <f t="shared" si="47"/>
        <v>4937.21945925</v>
      </c>
      <c r="AA55" s="32">
        <f t="shared" si="48"/>
        <v>888.69950266500007</v>
      </c>
      <c r="AB55" s="32">
        <f t="shared" si="49"/>
        <v>5825.9189619150002</v>
      </c>
    </row>
    <row r="56" spans="1:28" ht="15.75" thickBot="1">
      <c r="A56" s="223"/>
      <c r="B56" s="185"/>
      <c r="C56" s="71" t="s">
        <v>27</v>
      </c>
      <c r="D56" s="72">
        <v>803549.74</v>
      </c>
      <c r="E56" s="105">
        <f t="shared" si="37"/>
        <v>34347.860347392896</v>
      </c>
      <c r="F56" s="72">
        <f t="shared" si="38"/>
        <v>91658.280828000003</v>
      </c>
      <c r="G56" s="72">
        <v>600</v>
      </c>
      <c r="H56" s="72">
        <v>3199</v>
      </c>
      <c r="I56" s="73">
        <f t="shared" si="50"/>
        <v>933354.88117539289</v>
      </c>
      <c r="J56" s="72">
        <f t="shared" si="39"/>
        <v>803549.74</v>
      </c>
      <c r="K56" s="106">
        <f t="shared" si="40"/>
        <v>31208.06095044667</v>
      </c>
      <c r="L56" s="75">
        <f t="shared" si="41"/>
        <v>165424.14696000001</v>
      </c>
      <c r="M56" s="75">
        <v>600</v>
      </c>
      <c r="N56" s="72">
        <v>3199</v>
      </c>
      <c r="O56" s="73">
        <f t="shared" si="51"/>
        <v>1003980.9479104467</v>
      </c>
      <c r="P56" s="75">
        <v>7458</v>
      </c>
      <c r="Q56" s="75">
        <v>4834</v>
      </c>
      <c r="R56" s="75">
        <v>7000</v>
      </c>
      <c r="S56" s="75">
        <f t="shared" si="42"/>
        <v>5855.0651805100006</v>
      </c>
      <c r="T56" s="72">
        <f t="shared" si="43"/>
        <v>5855.0651805100006</v>
      </c>
      <c r="U56" s="75">
        <f t="shared" si="52"/>
        <v>1531.3247395179999</v>
      </c>
      <c r="V56" s="75">
        <v>7999</v>
      </c>
      <c r="W56" s="73">
        <f t="shared" si="53"/>
        <v>968032.27109542093</v>
      </c>
      <c r="X56" s="84">
        <f t="shared" si="54"/>
        <v>1038658.3378304747</v>
      </c>
      <c r="Y56" s="32">
        <f t="shared" si="46"/>
        <v>763372.25300000003</v>
      </c>
      <c r="Z56" s="32">
        <f t="shared" si="47"/>
        <v>4961.9196445000007</v>
      </c>
      <c r="AA56" s="32">
        <f t="shared" si="48"/>
        <v>893.14553601000011</v>
      </c>
      <c r="AB56" s="32">
        <f t="shared" si="49"/>
        <v>5855.0651805100006</v>
      </c>
    </row>
    <row r="57" spans="1:28" ht="15.75" thickBot="1">
      <c r="A57" s="223"/>
      <c r="B57" s="185" t="s">
        <v>49</v>
      </c>
      <c r="C57" s="71" t="s">
        <v>26</v>
      </c>
      <c r="D57" s="72">
        <v>780574.73</v>
      </c>
      <c r="E57" s="105">
        <f t="shared" si="37"/>
        <v>33827.466685777435</v>
      </c>
      <c r="F57" s="72">
        <f t="shared" si="38"/>
        <v>89080.484705999988</v>
      </c>
      <c r="G57" s="72">
        <v>600</v>
      </c>
      <c r="H57" s="72">
        <v>3199</v>
      </c>
      <c r="I57" s="73">
        <f t="shared" si="50"/>
        <v>907281.68139177735</v>
      </c>
      <c r="J57" s="72">
        <f t="shared" si="39"/>
        <v>780574.73</v>
      </c>
      <c r="K57" s="106">
        <f t="shared" si="40"/>
        <v>30701.528622409423</v>
      </c>
      <c r="L57" s="75">
        <f t="shared" si="41"/>
        <v>160737.24492</v>
      </c>
      <c r="M57" s="75">
        <v>600</v>
      </c>
      <c r="N57" s="72">
        <v>3199</v>
      </c>
      <c r="O57" s="73">
        <f t="shared" si="51"/>
        <v>975812.50354240939</v>
      </c>
      <c r="P57" s="75">
        <v>7458</v>
      </c>
      <c r="Q57" s="75">
        <v>4834</v>
      </c>
      <c r="R57" s="75">
        <v>7000</v>
      </c>
      <c r="S57" s="75">
        <f t="shared" si="42"/>
        <v>5687.6577701450005</v>
      </c>
      <c r="T57" s="72">
        <f t="shared" si="43"/>
        <v>5687.6577701450005</v>
      </c>
      <c r="U57" s="75">
        <f t="shared" si="52"/>
        <v>1487.541262961</v>
      </c>
      <c r="V57" s="75">
        <v>7999</v>
      </c>
      <c r="W57" s="73">
        <f t="shared" si="53"/>
        <v>941747.88042488333</v>
      </c>
      <c r="X57" s="84">
        <f t="shared" si="54"/>
        <v>1010278.7025755154</v>
      </c>
      <c r="Y57" s="32">
        <f t="shared" si="46"/>
        <v>741545.99349999998</v>
      </c>
      <c r="Z57" s="32">
        <f t="shared" si="47"/>
        <v>4820.0489577500002</v>
      </c>
      <c r="AA57" s="32">
        <f t="shared" si="48"/>
        <v>867.60881239499997</v>
      </c>
      <c r="AB57" s="32">
        <f t="shared" si="49"/>
        <v>5687.6577701450005</v>
      </c>
    </row>
    <row r="58" spans="1:28" ht="15.75" thickBot="1">
      <c r="A58" s="223"/>
      <c r="B58" s="185"/>
      <c r="C58" s="71" t="s">
        <v>27</v>
      </c>
      <c r="D58" s="72">
        <v>784574.72</v>
      </c>
      <c r="E58" s="105">
        <f t="shared" si="37"/>
        <v>33918.068145473204</v>
      </c>
      <c r="F58" s="72">
        <f t="shared" si="38"/>
        <v>89529.28358399999</v>
      </c>
      <c r="G58" s="72">
        <v>600</v>
      </c>
      <c r="H58" s="72">
        <v>3199</v>
      </c>
      <c r="I58" s="73">
        <f t="shared" si="50"/>
        <v>911821.07172947319</v>
      </c>
      <c r="J58" s="72">
        <f t="shared" si="39"/>
        <v>784574.72</v>
      </c>
      <c r="K58" s="106">
        <f t="shared" si="40"/>
        <v>30789.716799338428</v>
      </c>
      <c r="L58" s="75">
        <f t="shared" si="41"/>
        <v>161553.24287999998</v>
      </c>
      <c r="M58" s="75">
        <v>600</v>
      </c>
      <c r="N58" s="72">
        <v>3199</v>
      </c>
      <c r="O58" s="73">
        <f t="shared" si="51"/>
        <v>980716.67967933835</v>
      </c>
      <c r="P58" s="75">
        <v>7458</v>
      </c>
      <c r="Q58" s="75">
        <v>4834</v>
      </c>
      <c r="R58" s="75">
        <v>7000</v>
      </c>
      <c r="S58" s="75">
        <f t="shared" si="42"/>
        <v>5716.8036972800001</v>
      </c>
      <c r="T58" s="72">
        <f t="shared" si="43"/>
        <v>5716.8036972800001</v>
      </c>
      <c r="U58" s="75">
        <f t="shared" si="52"/>
        <v>1495.1640439039998</v>
      </c>
      <c r="V58" s="75">
        <v>7999</v>
      </c>
      <c r="W58" s="73">
        <f t="shared" si="53"/>
        <v>946324.03947065724</v>
      </c>
      <c r="X58" s="84">
        <f t="shared" si="54"/>
        <v>1015219.6474205224</v>
      </c>
      <c r="Y58" s="32">
        <f t="shared" si="46"/>
        <v>745345.98399999994</v>
      </c>
      <c r="Z58" s="32">
        <f t="shared" si="47"/>
        <v>4844.7488960000001</v>
      </c>
      <c r="AA58" s="32">
        <f t="shared" si="48"/>
        <v>872.05480127999999</v>
      </c>
      <c r="AB58" s="32">
        <f t="shared" si="49"/>
        <v>5716.8036972800001</v>
      </c>
    </row>
    <row r="59" spans="1:28" ht="15.75" thickBot="1">
      <c r="A59" s="223"/>
      <c r="B59" s="185" t="s">
        <v>50</v>
      </c>
      <c r="C59" s="71" t="s">
        <v>26</v>
      </c>
      <c r="D59" s="72">
        <v>857103.7</v>
      </c>
      <c r="E59" s="105">
        <f t="shared" si="37"/>
        <v>35560.880117064728</v>
      </c>
      <c r="F59" s="72">
        <f t="shared" si="38"/>
        <v>97667.035139999993</v>
      </c>
      <c r="G59" s="72">
        <v>600</v>
      </c>
      <c r="H59" s="72">
        <v>3199</v>
      </c>
      <c r="I59" s="73">
        <f t="shared" si="50"/>
        <v>994130.61525706458</v>
      </c>
      <c r="J59" s="77">
        <f>D59</f>
        <v>857103.7</v>
      </c>
      <c r="K59" s="106">
        <f t="shared" si="40"/>
        <v>32388.770427152591</v>
      </c>
      <c r="L59" s="75">
        <f t="shared" si="41"/>
        <v>176349.15479999999</v>
      </c>
      <c r="M59" s="75">
        <v>600</v>
      </c>
      <c r="N59" s="72">
        <v>3199</v>
      </c>
      <c r="O59" s="73">
        <f t="shared" si="51"/>
        <v>1069640.6252271526</v>
      </c>
      <c r="P59" s="75">
        <v>7458</v>
      </c>
      <c r="Q59" s="75">
        <v>4834</v>
      </c>
      <c r="R59" s="75">
        <v>7000</v>
      </c>
      <c r="S59" s="76">
        <f>AB59</f>
        <v>6245.2861100500004</v>
      </c>
      <c r="T59" s="76">
        <f>AB59</f>
        <v>6245.2861100500004</v>
      </c>
      <c r="U59" s="75">
        <f t="shared" si="52"/>
        <v>1633.38252109</v>
      </c>
      <c r="V59" s="75">
        <v>7999</v>
      </c>
      <c r="W59" s="73">
        <f t="shared" si="53"/>
        <v>1029300.2838882046</v>
      </c>
      <c r="X59" s="84">
        <f t="shared" si="54"/>
        <v>1104810.2938582927</v>
      </c>
      <c r="Y59" s="32">
        <f>D59*95/100</f>
        <v>814248.51500000001</v>
      </c>
      <c r="Z59" s="32">
        <f>Y59*0.65/100</f>
        <v>5292.6153475000001</v>
      </c>
      <c r="AA59" s="32">
        <f>Z59*18/100</f>
        <v>952.67076255000006</v>
      </c>
      <c r="AB59" s="32">
        <f>Z59+AA59</f>
        <v>6245.2861100500004</v>
      </c>
    </row>
    <row r="60" spans="1:28" ht="15.75" thickBot="1">
      <c r="A60" s="223"/>
      <c r="B60" s="185"/>
      <c r="C60" s="71" t="s">
        <v>27</v>
      </c>
      <c r="D60" s="72">
        <v>861103.7</v>
      </c>
      <c r="E60" s="105">
        <f t="shared" si="37"/>
        <v>35651.481803264731</v>
      </c>
      <c r="F60" s="72">
        <f t="shared" si="38"/>
        <v>98115.835139999996</v>
      </c>
      <c r="G60" s="72">
        <v>600</v>
      </c>
      <c r="H60" s="72">
        <v>3199</v>
      </c>
      <c r="I60" s="73">
        <f t="shared" si="50"/>
        <v>998670.01694326464</v>
      </c>
      <c r="J60" s="77">
        <f>D60</f>
        <v>861103.7</v>
      </c>
      <c r="K60" s="106">
        <f t="shared" si="40"/>
        <v>32476.958824552588</v>
      </c>
      <c r="L60" s="75">
        <f t="shared" si="41"/>
        <v>177165.15479999999</v>
      </c>
      <c r="M60" s="75">
        <v>600</v>
      </c>
      <c r="N60" s="72">
        <v>3199</v>
      </c>
      <c r="O60" s="73">
        <f t="shared" si="51"/>
        <v>1074544.8136245525</v>
      </c>
      <c r="P60" s="77">
        <v>7458</v>
      </c>
      <c r="Q60" s="77">
        <v>4834</v>
      </c>
      <c r="R60" s="77">
        <v>7000</v>
      </c>
      <c r="S60" s="76">
        <f>AB60</f>
        <v>6274.4321100500001</v>
      </c>
      <c r="T60" s="76">
        <f>AB60</f>
        <v>6274.4321100500001</v>
      </c>
      <c r="U60" s="75">
        <f t="shared" si="52"/>
        <v>1641.0053210899998</v>
      </c>
      <c r="V60" s="77">
        <v>7999</v>
      </c>
      <c r="W60" s="73">
        <f t="shared" si="53"/>
        <v>1033876.4543744046</v>
      </c>
      <c r="X60" s="84">
        <f t="shared" si="54"/>
        <v>1109751.2510556926</v>
      </c>
      <c r="Y60" s="32">
        <f>D60*95/100</f>
        <v>818048.51500000001</v>
      </c>
      <c r="Z60" s="32">
        <f>Y60*0.65/100</f>
        <v>5317.3153474999999</v>
      </c>
      <c r="AA60" s="32">
        <f>Z60*18/100</f>
        <v>957.11676254999998</v>
      </c>
      <c r="AB60" s="32">
        <f>Z60+AA60</f>
        <v>6274.4321100500001</v>
      </c>
    </row>
    <row r="61" spans="1:28" ht="15.75" thickBot="1">
      <c r="A61" s="223"/>
      <c r="B61" s="185" t="s">
        <v>120</v>
      </c>
      <c r="C61" s="71" t="s">
        <v>26</v>
      </c>
      <c r="D61" s="72">
        <v>862103.68</v>
      </c>
      <c r="E61" s="105">
        <f t="shared" si="37"/>
        <v>35674.131771806307</v>
      </c>
      <c r="F61" s="72">
        <f t="shared" si="38"/>
        <v>98228.032896000004</v>
      </c>
      <c r="G61" s="72">
        <v>600</v>
      </c>
      <c r="H61" s="72">
        <v>3199</v>
      </c>
      <c r="I61" s="73">
        <f t="shared" si="50"/>
        <v>999804.84466780629</v>
      </c>
      <c r="J61" s="77">
        <f t="shared" si="39"/>
        <v>862103.68</v>
      </c>
      <c r="K61" s="106">
        <f t="shared" si="40"/>
        <v>32499.005482960609</v>
      </c>
      <c r="L61" s="75">
        <f t="shared" si="41"/>
        <v>177369.15072000001</v>
      </c>
      <c r="M61" s="75">
        <v>600</v>
      </c>
      <c r="N61" s="72">
        <v>3199</v>
      </c>
      <c r="O61" s="73">
        <f t="shared" si="51"/>
        <v>1075770.8362029607</v>
      </c>
      <c r="P61" s="75">
        <v>7458</v>
      </c>
      <c r="Q61" s="75">
        <v>4834</v>
      </c>
      <c r="R61" s="75">
        <v>7000</v>
      </c>
      <c r="S61" s="76">
        <f t="shared" si="42"/>
        <v>6281.7184643199998</v>
      </c>
      <c r="T61" s="76">
        <f t="shared" si="43"/>
        <v>6281.7184643199998</v>
      </c>
      <c r="U61" s="75">
        <f t="shared" si="52"/>
        <v>1642.910982976</v>
      </c>
      <c r="V61" s="75">
        <v>7999</v>
      </c>
      <c r="W61" s="73">
        <f t="shared" si="53"/>
        <v>1035020.4741151022</v>
      </c>
      <c r="X61" s="84">
        <f t="shared" si="54"/>
        <v>1110986.4656502567</v>
      </c>
      <c r="Y61" s="32">
        <f t="shared" si="46"/>
        <v>818998.49600000004</v>
      </c>
      <c r="Z61" s="32">
        <f t="shared" si="47"/>
        <v>5323.4902240000001</v>
      </c>
      <c r="AA61" s="32">
        <f t="shared" si="48"/>
        <v>958.22824032000005</v>
      </c>
      <c r="AB61" s="32">
        <f t="shared" si="49"/>
        <v>6281.7184643199998</v>
      </c>
    </row>
    <row r="62" spans="1:28" ht="15.75" thickBot="1">
      <c r="A62" s="224"/>
      <c r="B62" s="186"/>
      <c r="C62" s="85" t="s">
        <v>27</v>
      </c>
      <c r="D62" s="87">
        <v>866103.69</v>
      </c>
      <c r="E62" s="105">
        <f t="shared" si="37"/>
        <v>35764.733684510516</v>
      </c>
      <c r="F62" s="86">
        <f t="shared" si="38"/>
        <v>98676.834017999994</v>
      </c>
      <c r="G62" s="86">
        <v>600</v>
      </c>
      <c r="H62" s="86">
        <v>3199</v>
      </c>
      <c r="I62" s="88">
        <f t="shared" si="50"/>
        <v>1004344.2577025103</v>
      </c>
      <c r="J62" s="90">
        <f t="shared" si="39"/>
        <v>866103.69</v>
      </c>
      <c r="K62" s="107">
        <f t="shared" si="40"/>
        <v>32587.194100831595</v>
      </c>
      <c r="L62" s="89">
        <f t="shared" si="41"/>
        <v>178185.15275999997</v>
      </c>
      <c r="M62" s="89">
        <v>600</v>
      </c>
      <c r="N62" s="86">
        <v>3199</v>
      </c>
      <c r="O62" s="88">
        <f t="shared" si="51"/>
        <v>1080675.0368608315</v>
      </c>
      <c r="P62" s="90">
        <v>7458</v>
      </c>
      <c r="Q62" s="90">
        <v>4834</v>
      </c>
      <c r="R62" s="90">
        <v>7000</v>
      </c>
      <c r="S62" s="87">
        <f t="shared" si="42"/>
        <v>6310.8645371849998</v>
      </c>
      <c r="T62" s="87">
        <f t="shared" si="43"/>
        <v>6310.8645371849998</v>
      </c>
      <c r="U62" s="89">
        <f t="shared" si="52"/>
        <v>1650.5338020329998</v>
      </c>
      <c r="V62" s="90">
        <v>7999</v>
      </c>
      <c r="W62" s="88">
        <f t="shared" si="53"/>
        <v>1039596.6560417284</v>
      </c>
      <c r="X62" s="101">
        <f t="shared" si="54"/>
        <v>1115927.4352000495</v>
      </c>
      <c r="Y62" s="32">
        <f t="shared" si="46"/>
        <v>822798.50549999997</v>
      </c>
      <c r="Z62" s="32">
        <f t="shared" si="47"/>
        <v>5348.1902857499999</v>
      </c>
      <c r="AA62" s="32">
        <f t="shared" si="48"/>
        <v>962.67425143500009</v>
      </c>
      <c r="AB62" s="32">
        <f t="shared" si="49"/>
        <v>6310.8645371849998</v>
      </c>
    </row>
    <row r="63" spans="1:28" ht="15.75" thickBot="1">
      <c r="E63" s="108"/>
      <c r="K63" s="108"/>
    </row>
    <row r="64" spans="1:28" ht="15.75" thickBot="1">
      <c r="A64" s="219" t="s">
        <v>51</v>
      </c>
      <c r="B64" s="184" t="s">
        <v>44</v>
      </c>
      <c r="C64" s="78" t="s">
        <v>26</v>
      </c>
      <c r="D64" s="79">
        <v>744784.74</v>
      </c>
      <c r="E64" s="105">
        <f t="shared" si="37"/>
        <v>33016.808325007136</v>
      </c>
      <c r="F64" s="79">
        <f t="shared" ref="F64:F75" si="55">(D64*13/100)+(D64*13/100)*2/100+1500</f>
        <v>100258.45652399999</v>
      </c>
      <c r="G64" s="79">
        <v>600</v>
      </c>
      <c r="H64" s="79">
        <v>3199</v>
      </c>
      <c r="I64" s="80">
        <f>D64+E64+F64+H64+G64</f>
        <v>881859.00484900712</v>
      </c>
      <c r="J64" s="79">
        <f t="shared" ref="J64:J75" si="56">D64</f>
        <v>744784.74</v>
      </c>
      <c r="K64" s="105">
        <f t="shared" ref="K64:K75" si="57">((J64*95%*3.191%)-((J64*95%*3.191%)*40%)+11184)+((J64*95%*3.191%)-((J64*95%*3.191%)*40%)+11184)*18%+(J64*95%*0.1%+250)+(J64*95%*0.1%+250)*18%-IF((((J64*95%*3.191%)-((J64*95%*3.191%)*40%))*2.5%)&gt;500,500,(((J64*95%*3.191%)-((J64*95%*3.191%)*40%))*2.5%))-IF((((J64*95%*3.191%)-((J64*95%*3.191%)*40%))*2.5%)&gt;500,500,(((J64*95%*3.191%)-((J64*95%*3.191%)*40%))*2.5%))*18%</f>
        <v>29912.463157143917</v>
      </c>
      <c r="L64" s="82">
        <f t="shared" ref="L64:L75" si="58">(J64*20/100)+(J64*20/100)*2/100+1500</f>
        <v>153436.08696000002</v>
      </c>
      <c r="M64" s="82">
        <v>600</v>
      </c>
      <c r="N64" s="79">
        <v>3199</v>
      </c>
      <c r="O64" s="80">
        <f>J64+K64+L64+N64+M64</f>
        <v>931932.29011714389</v>
      </c>
      <c r="P64" s="82">
        <v>8804</v>
      </c>
      <c r="Q64" s="82">
        <v>4834</v>
      </c>
      <c r="R64" s="82">
        <v>7000</v>
      </c>
      <c r="S64" s="82">
        <f t="shared" ref="S64:S75" si="59">AB64</f>
        <v>5426.8740080100006</v>
      </c>
      <c r="T64" s="82">
        <f t="shared" ref="T64:T75" si="60">AB64</f>
        <v>5426.8740080100006</v>
      </c>
      <c r="U64" s="82">
        <f t="shared" si="52"/>
        <v>1419.3362790179999</v>
      </c>
      <c r="V64" s="82">
        <v>7999</v>
      </c>
      <c r="W64" s="80">
        <f t="shared" ref="W64" si="61">I64+P64+Q64+S64+V64+R64+U64</f>
        <v>917342.21513603511</v>
      </c>
      <c r="X64" s="83">
        <f t="shared" ref="X64" si="62">O64+P64+Q64+T64+V64+R64+U64</f>
        <v>967415.50040417188</v>
      </c>
      <c r="Y64" s="32">
        <f t="shared" ref="Y64:Y75" si="63">D64*95/100</f>
        <v>707545.50300000003</v>
      </c>
      <c r="Z64" s="32">
        <f t="shared" ref="Z64:Z75" si="64">Y64*0.65/100</f>
        <v>4599.0457695000005</v>
      </c>
      <c r="AA64" s="32">
        <f t="shared" ref="AA64:AA75" si="65">Z64*18/100</f>
        <v>827.82823851000012</v>
      </c>
      <c r="AB64" s="32">
        <f t="shared" ref="AB64:AB75" si="66">Z64+AA64</f>
        <v>5426.8740080100006</v>
      </c>
    </row>
    <row r="65" spans="1:28" ht="15.75" thickBot="1">
      <c r="A65" s="220"/>
      <c r="B65" s="185"/>
      <c r="C65" s="71" t="s">
        <v>27</v>
      </c>
      <c r="D65" s="72">
        <v>748784.73</v>
      </c>
      <c r="E65" s="105">
        <f t="shared" si="37"/>
        <v>33107.409784702926</v>
      </c>
      <c r="F65" s="72">
        <f t="shared" si="55"/>
        <v>100788.855198</v>
      </c>
      <c r="G65" s="72">
        <v>600</v>
      </c>
      <c r="H65" s="72">
        <v>3199</v>
      </c>
      <c r="I65" s="73">
        <f t="shared" ref="I65:I75" si="67">D65+E65+F65+H65+G65</f>
        <v>886479.99498270289</v>
      </c>
      <c r="J65" s="72">
        <f t="shared" si="56"/>
        <v>748784.73</v>
      </c>
      <c r="K65" s="106">
        <f t="shared" si="57"/>
        <v>30000.651334072925</v>
      </c>
      <c r="L65" s="75">
        <f t="shared" si="58"/>
        <v>154252.08491999999</v>
      </c>
      <c r="M65" s="75">
        <v>600</v>
      </c>
      <c r="N65" s="72">
        <v>3199</v>
      </c>
      <c r="O65" s="73">
        <f t="shared" ref="O65:O75" si="68">J65+K65+L65+N65+M65</f>
        <v>936836.46625407296</v>
      </c>
      <c r="P65" s="75">
        <v>8804</v>
      </c>
      <c r="Q65" s="75">
        <v>4834</v>
      </c>
      <c r="R65" s="75">
        <v>7000</v>
      </c>
      <c r="S65" s="75">
        <f t="shared" si="59"/>
        <v>5456.0199351450001</v>
      </c>
      <c r="T65" s="75">
        <f t="shared" si="60"/>
        <v>5456.0199351450001</v>
      </c>
      <c r="U65" s="75">
        <f t="shared" si="52"/>
        <v>1426.9590599610001</v>
      </c>
      <c r="V65" s="75">
        <v>7999</v>
      </c>
      <c r="W65" s="73">
        <f t="shared" ref="W65:W75" si="69">I65+P65+Q65+S65+V65+R65+U65</f>
        <v>921999.97397780896</v>
      </c>
      <c r="X65" s="84">
        <f t="shared" ref="X65:X75" si="70">O65+P65+Q65+T65+V65+R65+U65</f>
        <v>972356.44524917903</v>
      </c>
      <c r="Y65" s="32">
        <f t="shared" si="63"/>
        <v>711345.49349999998</v>
      </c>
      <c r="Z65" s="32">
        <f t="shared" si="64"/>
        <v>4623.7457077500003</v>
      </c>
      <c r="AA65" s="32">
        <f t="shared" si="65"/>
        <v>832.27422739500003</v>
      </c>
      <c r="AB65" s="32">
        <f t="shared" si="66"/>
        <v>5456.0199351450001</v>
      </c>
    </row>
    <row r="66" spans="1:28" ht="15.75" thickBot="1">
      <c r="A66" s="220"/>
      <c r="B66" s="185" t="s">
        <v>45</v>
      </c>
      <c r="C66" s="71" t="s">
        <v>26</v>
      </c>
      <c r="D66" s="72">
        <v>813795.72</v>
      </c>
      <c r="E66" s="105">
        <f t="shared" si="37"/>
        <v>34579.936113585769</v>
      </c>
      <c r="F66" s="72">
        <f t="shared" si="55"/>
        <v>109409.31247200001</v>
      </c>
      <c r="G66" s="72">
        <v>600</v>
      </c>
      <c r="H66" s="72">
        <v>3199</v>
      </c>
      <c r="I66" s="73">
        <f t="shared" si="67"/>
        <v>961583.96858558571</v>
      </c>
      <c r="J66" s="72">
        <f t="shared" si="56"/>
        <v>813795.72</v>
      </c>
      <c r="K66" s="106">
        <f t="shared" si="57"/>
        <v>31433.955089444782</v>
      </c>
      <c r="L66" s="75">
        <f t="shared" si="58"/>
        <v>167514.32687999998</v>
      </c>
      <c r="M66" s="75">
        <v>600</v>
      </c>
      <c r="N66" s="72">
        <v>3199</v>
      </c>
      <c r="O66" s="73">
        <f t="shared" si="68"/>
        <v>1016543.0019694447</v>
      </c>
      <c r="P66" s="75">
        <v>8804</v>
      </c>
      <c r="Q66" s="75">
        <v>4834</v>
      </c>
      <c r="R66" s="75">
        <v>7000</v>
      </c>
      <c r="S66" s="75">
        <f t="shared" si="59"/>
        <v>5929.7225137799996</v>
      </c>
      <c r="T66" s="75">
        <f t="shared" si="60"/>
        <v>5929.7225137799996</v>
      </c>
      <c r="U66" s="75">
        <f t="shared" si="52"/>
        <v>1550.8505036039996</v>
      </c>
      <c r="V66" s="75">
        <v>7999</v>
      </c>
      <c r="W66" s="73">
        <f t="shared" si="69"/>
        <v>997701.54160296975</v>
      </c>
      <c r="X66" s="84">
        <f t="shared" si="70"/>
        <v>1052660.5749868285</v>
      </c>
      <c r="Y66" s="32">
        <f t="shared" si="63"/>
        <v>773105.93399999989</v>
      </c>
      <c r="Z66" s="32">
        <f t="shared" si="64"/>
        <v>5025.1885709999997</v>
      </c>
      <c r="AA66" s="32">
        <f t="shared" si="65"/>
        <v>904.53394277999996</v>
      </c>
      <c r="AB66" s="32">
        <f t="shared" si="66"/>
        <v>5929.7225137799996</v>
      </c>
    </row>
    <row r="67" spans="1:28" ht="15.75" thickBot="1">
      <c r="A67" s="220"/>
      <c r="B67" s="185"/>
      <c r="C67" s="71" t="s">
        <v>27</v>
      </c>
      <c r="D67" s="72">
        <v>817795.73</v>
      </c>
      <c r="E67" s="105">
        <f t="shared" si="37"/>
        <v>34670.538026289978</v>
      </c>
      <c r="F67" s="72">
        <f t="shared" si="55"/>
        <v>109939.713798</v>
      </c>
      <c r="G67" s="72">
        <v>600</v>
      </c>
      <c r="H67" s="72">
        <v>3199</v>
      </c>
      <c r="I67" s="73">
        <f t="shared" si="67"/>
        <v>966204.98182429001</v>
      </c>
      <c r="J67" s="72">
        <f t="shared" si="56"/>
        <v>817795.73</v>
      </c>
      <c r="K67" s="106">
        <f t="shared" si="57"/>
        <v>31522.143707315772</v>
      </c>
      <c r="L67" s="75">
        <f t="shared" si="58"/>
        <v>168330.32892</v>
      </c>
      <c r="M67" s="75">
        <v>600</v>
      </c>
      <c r="N67" s="72">
        <v>3199</v>
      </c>
      <c r="O67" s="73">
        <f t="shared" si="68"/>
        <v>1021447.2026273158</v>
      </c>
      <c r="P67" s="75">
        <v>8804</v>
      </c>
      <c r="Q67" s="75">
        <v>4834</v>
      </c>
      <c r="R67" s="75">
        <v>7000</v>
      </c>
      <c r="S67" s="75">
        <f t="shared" si="59"/>
        <v>5958.8685866449996</v>
      </c>
      <c r="T67" s="75">
        <f t="shared" si="60"/>
        <v>5958.8685866449996</v>
      </c>
      <c r="U67" s="75">
        <f t="shared" si="52"/>
        <v>1558.4733226609999</v>
      </c>
      <c r="V67" s="75">
        <v>7999</v>
      </c>
      <c r="W67" s="73">
        <f t="shared" si="69"/>
        <v>1002359.323733596</v>
      </c>
      <c r="X67" s="84">
        <f t="shared" si="70"/>
        <v>1057601.5445366215</v>
      </c>
      <c r="Y67" s="32">
        <f t="shared" si="63"/>
        <v>776905.94349999994</v>
      </c>
      <c r="Z67" s="32">
        <f t="shared" si="64"/>
        <v>5049.8886327499995</v>
      </c>
      <c r="AA67" s="32">
        <f t="shared" si="65"/>
        <v>908.97995389499988</v>
      </c>
      <c r="AB67" s="32">
        <f t="shared" si="66"/>
        <v>5958.8685866449996</v>
      </c>
    </row>
    <row r="68" spans="1:28" ht="15.75" thickBot="1">
      <c r="A68" s="220"/>
      <c r="B68" s="185" t="s">
        <v>46</v>
      </c>
      <c r="C68" s="71" t="s">
        <v>26</v>
      </c>
      <c r="D68" s="72">
        <v>854500.71</v>
      </c>
      <c r="E68" s="105">
        <f t="shared" si="37"/>
        <v>35501.921296274289</v>
      </c>
      <c r="F68" s="72">
        <f t="shared" si="55"/>
        <v>114806.794146</v>
      </c>
      <c r="G68" s="72">
        <v>600</v>
      </c>
      <c r="H68" s="72">
        <v>3199</v>
      </c>
      <c r="I68" s="73">
        <f t="shared" si="67"/>
        <v>1008608.4254422742</v>
      </c>
      <c r="J68" s="72">
        <f t="shared" si="56"/>
        <v>854500.71</v>
      </c>
      <c r="K68" s="106">
        <f t="shared" si="57"/>
        <v>32331.382048015534</v>
      </c>
      <c r="L68" s="75">
        <f t="shared" si="58"/>
        <v>175818.14483999999</v>
      </c>
      <c r="M68" s="75">
        <v>600</v>
      </c>
      <c r="N68" s="72">
        <v>3199</v>
      </c>
      <c r="O68" s="73">
        <f t="shared" si="68"/>
        <v>1066449.2368880154</v>
      </c>
      <c r="P68" s="75">
        <v>8804</v>
      </c>
      <c r="Q68" s="75">
        <v>4834</v>
      </c>
      <c r="R68" s="75">
        <v>7000</v>
      </c>
      <c r="S68" s="75">
        <f t="shared" si="59"/>
        <v>6226.3194234150005</v>
      </c>
      <c r="T68" s="75">
        <f t="shared" si="60"/>
        <v>6226.3194234150005</v>
      </c>
      <c r="U68" s="75">
        <f t="shared" si="52"/>
        <v>1628.4220030469999</v>
      </c>
      <c r="V68" s="75">
        <v>7999</v>
      </c>
      <c r="W68" s="73">
        <f t="shared" si="69"/>
        <v>1045100.1668687362</v>
      </c>
      <c r="X68" s="84">
        <f t="shared" si="70"/>
        <v>1102940.9783144775</v>
      </c>
      <c r="Y68" s="32">
        <f t="shared" si="63"/>
        <v>811775.67450000008</v>
      </c>
      <c r="Z68" s="32">
        <f t="shared" si="64"/>
        <v>5276.5418842500003</v>
      </c>
      <c r="AA68" s="32">
        <f t="shared" si="65"/>
        <v>949.77753916500001</v>
      </c>
      <c r="AB68" s="32">
        <f t="shared" si="66"/>
        <v>6226.3194234150005</v>
      </c>
    </row>
    <row r="69" spans="1:28" ht="15.75" thickBot="1">
      <c r="A69" s="220"/>
      <c r="B69" s="185"/>
      <c r="C69" s="71" t="s">
        <v>27</v>
      </c>
      <c r="D69" s="72">
        <v>858500.7</v>
      </c>
      <c r="E69" s="105">
        <f t="shared" si="37"/>
        <v>35592.522755970072</v>
      </c>
      <c r="F69" s="72">
        <f t="shared" si="55"/>
        <v>115337.19282</v>
      </c>
      <c r="G69" s="72">
        <v>600</v>
      </c>
      <c r="H69" s="72">
        <v>3199</v>
      </c>
      <c r="I69" s="73">
        <f t="shared" si="67"/>
        <v>1013229.41557597</v>
      </c>
      <c r="J69" s="72">
        <f t="shared" si="56"/>
        <v>858500.7</v>
      </c>
      <c r="K69" s="106">
        <f t="shared" si="57"/>
        <v>32419.570224944542</v>
      </c>
      <c r="L69" s="75">
        <f t="shared" si="58"/>
        <v>176634.1428</v>
      </c>
      <c r="M69" s="75">
        <v>600</v>
      </c>
      <c r="N69" s="72">
        <v>3199</v>
      </c>
      <c r="O69" s="73">
        <f t="shared" si="68"/>
        <v>1071353.4130249445</v>
      </c>
      <c r="P69" s="75">
        <v>8804</v>
      </c>
      <c r="Q69" s="75">
        <v>4834</v>
      </c>
      <c r="R69" s="75">
        <v>7000</v>
      </c>
      <c r="S69" s="75">
        <f t="shared" si="59"/>
        <v>6255.4653505500009</v>
      </c>
      <c r="T69" s="75">
        <f t="shared" si="60"/>
        <v>6255.4653505500009</v>
      </c>
      <c r="U69" s="75">
        <f t="shared" si="52"/>
        <v>1636.0447839899998</v>
      </c>
      <c r="V69" s="75">
        <v>7999</v>
      </c>
      <c r="W69" s="73">
        <f t="shared" si="69"/>
        <v>1049757.92571051</v>
      </c>
      <c r="X69" s="84">
        <f t="shared" si="70"/>
        <v>1107881.9231594843</v>
      </c>
      <c r="Y69" s="32">
        <f t="shared" si="63"/>
        <v>815575.66500000004</v>
      </c>
      <c r="Z69" s="32">
        <f t="shared" si="64"/>
        <v>5301.241822500001</v>
      </c>
      <c r="AA69" s="32">
        <f t="shared" si="65"/>
        <v>954.22352805000014</v>
      </c>
      <c r="AB69" s="32">
        <f t="shared" si="66"/>
        <v>6255.4653505500009</v>
      </c>
    </row>
    <row r="70" spans="1:28" ht="15.75" thickBot="1">
      <c r="A70" s="220"/>
      <c r="B70" s="185" t="s">
        <v>47</v>
      </c>
      <c r="C70" s="71" t="s">
        <v>26</v>
      </c>
      <c r="D70" s="72">
        <v>900441.69</v>
      </c>
      <c r="E70" s="105">
        <f t="shared" si="37"/>
        <v>36542.503859694421</v>
      </c>
      <c r="F70" s="72">
        <f t="shared" si="55"/>
        <v>120898.56809399999</v>
      </c>
      <c r="G70" s="72">
        <v>600</v>
      </c>
      <c r="H70" s="72">
        <v>3199</v>
      </c>
      <c r="I70" s="73">
        <f t="shared" si="67"/>
        <v>1061681.7619536943</v>
      </c>
      <c r="J70" s="72">
        <f t="shared" si="56"/>
        <v>900441.69</v>
      </c>
      <c r="K70" s="106">
        <f t="shared" si="57"/>
        <v>33344.247398311898</v>
      </c>
      <c r="L70" s="75">
        <f t="shared" si="58"/>
        <v>185190.10475999996</v>
      </c>
      <c r="M70" s="75">
        <v>600</v>
      </c>
      <c r="N70" s="72">
        <v>3199</v>
      </c>
      <c r="O70" s="73">
        <f t="shared" si="68"/>
        <v>1122775.0421583117</v>
      </c>
      <c r="P70" s="75">
        <v>8804</v>
      </c>
      <c r="Q70" s="75">
        <v>4834</v>
      </c>
      <c r="R70" s="75">
        <v>7000</v>
      </c>
      <c r="S70" s="75">
        <f t="shared" si="59"/>
        <v>6561.0683741849998</v>
      </c>
      <c r="T70" s="75">
        <f t="shared" si="60"/>
        <v>6561.0683741849998</v>
      </c>
      <c r="U70" s="75">
        <f t="shared" si="52"/>
        <v>1715.9717286330001</v>
      </c>
      <c r="V70" s="75">
        <v>7999</v>
      </c>
      <c r="W70" s="73">
        <f t="shared" si="69"/>
        <v>1098595.8020565121</v>
      </c>
      <c r="X70" s="84">
        <f t="shared" si="70"/>
        <v>1159689.0822611295</v>
      </c>
      <c r="Y70" s="32">
        <f t="shared" si="63"/>
        <v>855419.60549999995</v>
      </c>
      <c r="Z70" s="32">
        <f t="shared" si="64"/>
        <v>5560.22743575</v>
      </c>
      <c r="AA70" s="32">
        <f t="shared" si="65"/>
        <v>1000.840938435</v>
      </c>
      <c r="AB70" s="32">
        <f t="shared" si="66"/>
        <v>6561.0683741849998</v>
      </c>
    </row>
    <row r="71" spans="1:28" ht="15.75" thickBot="1">
      <c r="A71" s="220"/>
      <c r="B71" s="185"/>
      <c r="C71" s="71" t="s">
        <v>27</v>
      </c>
      <c r="D71" s="72">
        <v>904441.69</v>
      </c>
      <c r="E71" s="105">
        <f t="shared" si="37"/>
        <v>36633.105545894417</v>
      </c>
      <c r="F71" s="72">
        <f t="shared" si="55"/>
        <v>121428.96809399998</v>
      </c>
      <c r="G71" s="72">
        <v>600</v>
      </c>
      <c r="H71" s="72">
        <v>3199</v>
      </c>
      <c r="I71" s="73">
        <f t="shared" si="67"/>
        <v>1066302.7636398943</v>
      </c>
      <c r="J71" s="72">
        <f t="shared" si="56"/>
        <v>904441.69</v>
      </c>
      <c r="K71" s="106">
        <f t="shared" si="57"/>
        <v>33432.435795711899</v>
      </c>
      <c r="L71" s="75">
        <f t="shared" si="58"/>
        <v>186006.10475999996</v>
      </c>
      <c r="M71" s="75">
        <v>600</v>
      </c>
      <c r="N71" s="72">
        <v>3199</v>
      </c>
      <c r="O71" s="73">
        <f t="shared" si="68"/>
        <v>1127679.2305557118</v>
      </c>
      <c r="P71" s="75">
        <v>8804</v>
      </c>
      <c r="Q71" s="75">
        <v>4834</v>
      </c>
      <c r="R71" s="75">
        <v>7000</v>
      </c>
      <c r="S71" s="75">
        <f t="shared" si="59"/>
        <v>6590.2143741849995</v>
      </c>
      <c r="T71" s="75">
        <f t="shared" si="60"/>
        <v>6590.2143741849995</v>
      </c>
      <c r="U71" s="75">
        <f t="shared" si="52"/>
        <v>1723.5945286329998</v>
      </c>
      <c r="V71" s="75">
        <v>7999</v>
      </c>
      <c r="W71" s="73">
        <f t="shared" si="69"/>
        <v>1103253.5725427123</v>
      </c>
      <c r="X71" s="84">
        <f t="shared" si="70"/>
        <v>1164630.0394585298</v>
      </c>
      <c r="Y71" s="32">
        <f t="shared" si="63"/>
        <v>859219.60549999995</v>
      </c>
      <c r="Z71" s="32">
        <f t="shared" si="64"/>
        <v>5584.9274357499999</v>
      </c>
      <c r="AA71" s="32">
        <f t="shared" si="65"/>
        <v>1005.2869384349999</v>
      </c>
      <c r="AB71" s="32">
        <f t="shared" si="66"/>
        <v>6590.2143741849995</v>
      </c>
    </row>
    <row r="72" spans="1:28" ht="15.75" thickBot="1">
      <c r="A72" s="220"/>
      <c r="B72" s="185" t="s">
        <v>119</v>
      </c>
      <c r="C72" s="71" t="s">
        <v>26</v>
      </c>
      <c r="D72" s="72">
        <v>905441.69</v>
      </c>
      <c r="E72" s="105">
        <f t="shared" si="37"/>
        <v>36655.755967444413</v>
      </c>
      <c r="F72" s="72">
        <f t="shared" si="55"/>
        <v>121561.56809399999</v>
      </c>
      <c r="G72" s="72">
        <v>600</v>
      </c>
      <c r="H72" s="72">
        <v>3199</v>
      </c>
      <c r="I72" s="73">
        <f t="shared" si="67"/>
        <v>1067458.0140614444</v>
      </c>
      <c r="J72" s="72">
        <f>D72</f>
        <v>905441.69</v>
      </c>
      <c r="K72" s="106">
        <f t="shared" si="57"/>
        <v>33454.482895061912</v>
      </c>
      <c r="L72" s="75">
        <f t="shared" si="58"/>
        <v>186210.10475999996</v>
      </c>
      <c r="M72" s="75">
        <v>600</v>
      </c>
      <c r="N72" s="72">
        <v>3199</v>
      </c>
      <c r="O72" s="73">
        <f t="shared" si="68"/>
        <v>1128905.2776550618</v>
      </c>
      <c r="P72" s="75">
        <v>8804</v>
      </c>
      <c r="Q72" s="75">
        <v>4834</v>
      </c>
      <c r="R72" s="75">
        <v>7000</v>
      </c>
      <c r="S72" s="75">
        <f>AB72</f>
        <v>6597.5008741849997</v>
      </c>
      <c r="T72" s="75">
        <f>AB72</f>
        <v>6597.5008741849997</v>
      </c>
      <c r="U72" s="75">
        <f t="shared" si="52"/>
        <v>1725.5002286329998</v>
      </c>
      <c r="V72" s="75">
        <v>7999</v>
      </c>
      <c r="W72" s="73">
        <f t="shared" si="69"/>
        <v>1104418.0151642624</v>
      </c>
      <c r="X72" s="84">
        <f t="shared" si="70"/>
        <v>1165865.2787578797</v>
      </c>
      <c r="Y72" s="32">
        <f>D72*95/100</f>
        <v>860169.60549999995</v>
      </c>
      <c r="Z72" s="32">
        <f>Y72*0.65/100</f>
        <v>5591.10243575</v>
      </c>
      <c r="AA72" s="32">
        <f>Z72*18/100</f>
        <v>1006.398438435</v>
      </c>
      <c r="AB72" s="32">
        <f>Z72+AA72</f>
        <v>6597.5008741849997</v>
      </c>
    </row>
    <row r="73" spans="1:28" ht="15.75" thickBot="1">
      <c r="A73" s="220"/>
      <c r="B73" s="185"/>
      <c r="C73" s="71" t="s">
        <v>27</v>
      </c>
      <c r="D73" s="72">
        <v>909441.67</v>
      </c>
      <c r="E73" s="105">
        <f t="shared" si="37"/>
        <v>36746.35720063599</v>
      </c>
      <c r="F73" s="72">
        <f t="shared" si="55"/>
        <v>122091.965442</v>
      </c>
      <c r="G73" s="72">
        <v>600</v>
      </c>
      <c r="H73" s="72">
        <v>3199</v>
      </c>
      <c r="I73" s="73">
        <f t="shared" si="67"/>
        <v>1072078.9926426359</v>
      </c>
      <c r="J73" s="72">
        <f>D73</f>
        <v>909441.67</v>
      </c>
      <c r="K73" s="106">
        <f t="shared" si="57"/>
        <v>33542.670851519913</v>
      </c>
      <c r="L73" s="75">
        <f t="shared" si="58"/>
        <v>187026.10068000003</v>
      </c>
      <c r="M73" s="75">
        <v>600</v>
      </c>
      <c r="N73" s="72">
        <v>3199</v>
      </c>
      <c r="O73" s="73">
        <f t="shared" si="68"/>
        <v>1133809.4415315199</v>
      </c>
      <c r="P73" s="75">
        <v>8804</v>
      </c>
      <c r="Q73" s="75">
        <v>4834</v>
      </c>
      <c r="R73" s="75">
        <v>7000</v>
      </c>
      <c r="S73" s="75">
        <f>AB73</f>
        <v>6626.6467284550008</v>
      </c>
      <c r="T73" s="75">
        <f>AB73</f>
        <v>6626.6467284550008</v>
      </c>
      <c r="U73" s="75">
        <f t="shared" si="52"/>
        <v>1733.122990519</v>
      </c>
      <c r="V73" s="75">
        <v>7999</v>
      </c>
      <c r="W73" s="73">
        <f t="shared" si="69"/>
        <v>1109075.7623616101</v>
      </c>
      <c r="X73" s="84">
        <f t="shared" si="70"/>
        <v>1170806.211250494</v>
      </c>
      <c r="Y73" s="32">
        <f>D73*95/100</f>
        <v>863969.58650000009</v>
      </c>
      <c r="Z73" s="32">
        <f>Y73*0.65/100</f>
        <v>5615.8023122500008</v>
      </c>
      <c r="AA73" s="32">
        <f>Z73*18/100</f>
        <v>1010.8444162050001</v>
      </c>
      <c r="AB73" s="32">
        <f>Z73+AA73</f>
        <v>6626.6467284550008</v>
      </c>
    </row>
    <row r="74" spans="1:28" ht="15.75" thickBot="1">
      <c r="A74" s="220"/>
      <c r="B74" s="185" t="s">
        <v>48</v>
      </c>
      <c r="C74" s="71" t="s">
        <v>26</v>
      </c>
      <c r="D74" s="72">
        <v>942987.68</v>
      </c>
      <c r="E74" s="105">
        <f t="shared" si="37"/>
        <v>37506.188468456501</v>
      </c>
      <c r="F74" s="72">
        <f t="shared" si="55"/>
        <v>126540.16636800001</v>
      </c>
      <c r="G74" s="72">
        <v>600</v>
      </c>
      <c r="H74" s="72">
        <v>3199</v>
      </c>
      <c r="I74" s="73">
        <f t="shared" si="67"/>
        <v>1110833.0348364566</v>
      </c>
      <c r="J74" s="72">
        <f t="shared" si="56"/>
        <v>942987.68</v>
      </c>
      <c r="K74" s="106">
        <f t="shared" si="57"/>
        <v>34282.263066786007</v>
      </c>
      <c r="L74" s="72">
        <f t="shared" si="58"/>
        <v>193869.48672000002</v>
      </c>
      <c r="M74" s="75">
        <v>600</v>
      </c>
      <c r="N74" s="72">
        <v>3199</v>
      </c>
      <c r="O74" s="73">
        <f t="shared" si="68"/>
        <v>1174938.429786786</v>
      </c>
      <c r="P74" s="75">
        <v>8804</v>
      </c>
      <c r="Q74" s="75">
        <v>4834</v>
      </c>
      <c r="R74" s="75">
        <v>7000</v>
      </c>
      <c r="S74" s="75">
        <f t="shared" si="59"/>
        <v>6871.0797303200015</v>
      </c>
      <c r="T74" s="72">
        <f t="shared" si="60"/>
        <v>6871.0797303200015</v>
      </c>
      <c r="U74" s="75">
        <f t="shared" si="52"/>
        <v>1797.0516217759998</v>
      </c>
      <c r="V74" s="75">
        <v>7999</v>
      </c>
      <c r="W74" s="73">
        <f t="shared" si="69"/>
        <v>1148138.1661885527</v>
      </c>
      <c r="X74" s="84">
        <f t="shared" si="70"/>
        <v>1212243.5611388821</v>
      </c>
      <c r="Y74" s="32">
        <f t="shared" si="63"/>
        <v>895838.29600000009</v>
      </c>
      <c r="Z74" s="32">
        <f t="shared" si="64"/>
        <v>5822.9489240000012</v>
      </c>
      <c r="AA74" s="32">
        <f t="shared" si="65"/>
        <v>1048.1308063200004</v>
      </c>
      <c r="AB74" s="32">
        <f t="shared" si="66"/>
        <v>6871.0797303200015</v>
      </c>
    </row>
    <row r="75" spans="1:28" ht="15.75" thickBot="1">
      <c r="A75" s="221"/>
      <c r="B75" s="186"/>
      <c r="C75" s="85" t="s">
        <v>27</v>
      </c>
      <c r="D75" s="86">
        <v>946987.67</v>
      </c>
      <c r="E75" s="105">
        <f t="shared" si="37"/>
        <v>37596.789928152291</v>
      </c>
      <c r="F75" s="86">
        <f t="shared" si="55"/>
        <v>127070.565042</v>
      </c>
      <c r="G75" s="86">
        <v>600</v>
      </c>
      <c r="H75" s="86">
        <v>3199</v>
      </c>
      <c r="I75" s="88">
        <f t="shared" si="67"/>
        <v>1115454.0249701524</v>
      </c>
      <c r="J75" s="86">
        <f t="shared" si="56"/>
        <v>946987.67</v>
      </c>
      <c r="K75" s="107">
        <f t="shared" si="57"/>
        <v>34370.451243715012</v>
      </c>
      <c r="L75" s="86">
        <f t="shared" si="58"/>
        <v>194685.48468000002</v>
      </c>
      <c r="M75" s="89">
        <v>600</v>
      </c>
      <c r="N75" s="86">
        <v>3199</v>
      </c>
      <c r="O75" s="88">
        <f t="shared" si="68"/>
        <v>1179842.605923715</v>
      </c>
      <c r="P75" s="89">
        <v>8804</v>
      </c>
      <c r="Q75" s="89">
        <v>4834</v>
      </c>
      <c r="R75" s="89">
        <v>7000</v>
      </c>
      <c r="S75" s="89">
        <f t="shared" si="59"/>
        <v>6900.2256574550001</v>
      </c>
      <c r="T75" s="86">
        <f t="shared" si="60"/>
        <v>6900.2256574550001</v>
      </c>
      <c r="U75" s="89">
        <f t="shared" si="52"/>
        <v>1804.6744027190002</v>
      </c>
      <c r="V75" s="86">
        <v>7999</v>
      </c>
      <c r="W75" s="88">
        <f t="shared" si="69"/>
        <v>1152795.9250303262</v>
      </c>
      <c r="X75" s="101">
        <f t="shared" si="70"/>
        <v>1217184.5059838889</v>
      </c>
      <c r="Y75" s="32">
        <f t="shared" si="63"/>
        <v>899638.28650000005</v>
      </c>
      <c r="Z75" s="32">
        <f t="shared" si="64"/>
        <v>5847.6488622500001</v>
      </c>
      <c r="AA75" s="32">
        <f t="shared" si="65"/>
        <v>1052.5767952050001</v>
      </c>
      <c r="AB75" s="32">
        <f t="shared" si="66"/>
        <v>6900.2256574550001</v>
      </c>
    </row>
    <row r="77" spans="1:28" s="44" customFormat="1" ht="18.75">
      <c r="A77" s="63" t="s">
        <v>131</v>
      </c>
      <c r="B77" s="53"/>
      <c r="C77" s="52"/>
      <c r="D77" s="60"/>
      <c r="E77" s="54"/>
      <c r="F77" s="54"/>
      <c r="G77" s="54"/>
      <c r="H77" s="54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55"/>
      <c r="T77" s="55"/>
      <c r="U77" s="55"/>
    </row>
    <row r="78" spans="1:28" s="44" customFormat="1" ht="18.75">
      <c r="A78" s="63"/>
      <c r="B78" s="53"/>
      <c r="C78" s="52"/>
      <c r="D78" s="60"/>
      <c r="E78" s="54"/>
      <c r="F78" s="54"/>
      <c r="G78" s="54"/>
      <c r="H78" s="54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55"/>
      <c r="T78" s="55"/>
      <c r="U78" s="55"/>
    </row>
    <row r="79" spans="1:28" s="44" customFormat="1">
      <c r="A79" s="56" t="s">
        <v>52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7"/>
      <c r="T79" s="49"/>
      <c r="U79" s="49"/>
    </row>
    <row r="80" spans="1:28" s="44" customFormat="1">
      <c r="A80" s="61" t="s">
        <v>53</v>
      </c>
      <c r="B80" s="49"/>
      <c r="C80" s="47" t="s">
        <v>54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57"/>
      <c r="T80" s="49"/>
      <c r="U80" s="49"/>
    </row>
    <row r="81" spans="1:26" s="44" customFormat="1">
      <c r="A81" s="61" t="s">
        <v>55</v>
      </c>
      <c r="B81" s="49"/>
      <c r="C81" s="47" t="s">
        <v>56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57"/>
      <c r="T81" s="49"/>
      <c r="U81" s="49"/>
    </row>
    <row r="82" spans="1:26" s="44" customFormat="1">
      <c r="A82" s="61" t="s">
        <v>57</v>
      </c>
      <c r="B82" s="49"/>
      <c r="C82" s="47" t="s">
        <v>58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57"/>
      <c r="T82" s="49"/>
      <c r="U82" s="49"/>
      <c r="V82" s="50"/>
    </row>
    <row r="83" spans="1:26" s="44" customFormat="1">
      <c r="A83" s="61" t="s">
        <v>59</v>
      </c>
      <c r="B83" s="49"/>
      <c r="C83" s="47" t="s">
        <v>60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57"/>
      <c r="T83" s="49"/>
      <c r="U83" s="49"/>
    </row>
    <row r="84" spans="1:26" s="44" customFormat="1">
      <c r="A84" s="58" t="s">
        <v>35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57"/>
      <c r="T84" s="49"/>
      <c r="U84" s="49"/>
    </row>
    <row r="85" spans="1:26" s="44" customFormat="1">
      <c r="A85" s="48" t="s">
        <v>36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50"/>
      <c r="W85" s="51"/>
      <c r="X85" s="51"/>
      <c r="Y85" s="51"/>
      <c r="Z85" s="51"/>
    </row>
    <row r="86" spans="1:26" s="44" customFormat="1">
      <c r="A86" s="52" t="s">
        <v>61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51"/>
      <c r="Y86" s="51"/>
      <c r="Z86" s="51"/>
    </row>
    <row r="87" spans="1:26" s="44" customFormat="1">
      <c r="A87" s="52" t="s">
        <v>38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51"/>
      <c r="Y87" s="51"/>
      <c r="Z87" s="51"/>
    </row>
    <row r="88" spans="1:26" s="44" customFormat="1">
      <c r="A88" s="62" t="s">
        <v>127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51"/>
      <c r="Y88" s="51"/>
      <c r="Z88" s="51"/>
    </row>
    <row r="89" spans="1:26" s="44" customFormat="1">
      <c r="A89" s="125" t="s">
        <v>175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124"/>
      <c r="Y89" s="51"/>
      <c r="Z89" s="51"/>
    </row>
    <row r="90" spans="1:26" s="44" customFormat="1">
      <c r="A90" s="62" t="s">
        <v>128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51"/>
      <c r="Y90" s="51"/>
      <c r="Z90" s="51"/>
    </row>
    <row r="91" spans="1:26" s="44" customFormat="1">
      <c r="A91" s="48" t="s">
        <v>39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51"/>
      <c r="Y91" s="51"/>
      <c r="Z91" s="51"/>
    </row>
    <row r="92" spans="1:26" s="44" customFormat="1">
      <c r="A92" s="48" t="s">
        <v>40</v>
      </c>
      <c r="B92" s="49"/>
      <c r="C92" s="29"/>
      <c r="D92" s="29"/>
      <c r="E92" s="29"/>
      <c r="F92" s="29"/>
      <c r="G92" s="69"/>
      <c r="H92" s="29"/>
      <c r="I92" s="29"/>
      <c r="J92" s="29"/>
      <c r="K92" s="29"/>
      <c r="L92" s="29"/>
      <c r="M92" s="69"/>
      <c r="N92" s="29"/>
      <c r="O92" s="29"/>
      <c r="P92" s="29"/>
      <c r="Q92" s="29"/>
      <c r="R92" s="29"/>
      <c r="S92" s="29"/>
      <c r="T92" s="29"/>
      <c r="U92" s="99"/>
      <c r="V92" s="29"/>
      <c r="W92" s="29"/>
      <c r="X92" s="29"/>
      <c r="Y92" s="29"/>
      <c r="Z92" s="29"/>
    </row>
    <row r="93" spans="1:26" s="44" customFormat="1" ht="12.75" customHeight="1">
      <c r="A93" s="181" t="s">
        <v>41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</row>
    <row r="94" spans="1:26" s="44" customFormat="1">
      <c r="A94" s="48" t="s">
        <v>42</v>
      </c>
    </row>
    <row r="95" spans="1:26" s="44" customFormat="1">
      <c r="A95" s="48" t="s">
        <v>171</v>
      </c>
    </row>
    <row r="96" spans="1:26" s="44" customFormat="1"/>
    <row r="97" s="44" customFormat="1"/>
    <row r="98" s="44" customFormat="1"/>
    <row r="99" s="44" customFormat="1"/>
    <row r="100" s="44" customFormat="1"/>
  </sheetData>
  <sheetProtection selectLockedCells="1" selectUnlockedCells="1"/>
  <mergeCells count="55">
    <mergeCell ref="A1:X1"/>
    <mergeCell ref="A2:X2"/>
    <mergeCell ref="A3:X3"/>
    <mergeCell ref="A4:X4"/>
    <mergeCell ref="A5:X5"/>
    <mergeCell ref="A6:X6"/>
    <mergeCell ref="A7:X7"/>
    <mergeCell ref="A8:A9"/>
    <mergeCell ref="B8:C9"/>
    <mergeCell ref="D8:I8"/>
    <mergeCell ref="J8:O8"/>
    <mergeCell ref="P8:V8"/>
    <mergeCell ref="W8:X8"/>
    <mergeCell ref="A10:A27"/>
    <mergeCell ref="B10:B11"/>
    <mergeCell ref="B12:B13"/>
    <mergeCell ref="B14:B15"/>
    <mergeCell ref="B16:B17"/>
    <mergeCell ref="B20:B21"/>
    <mergeCell ref="B22:B23"/>
    <mergeCell ref="B26:B27"/>
    <mergeCell ref="B18:B19"/>
    <mergeCell ref="B24:B25"/>
    <mergeCell ref="A29:A40"/>
    <mergeCell ref="B29:B30"/>
    <mergeCell ref="B31:B32"/>
    <mergeCell ref="B33:B34"/>
    <mergeCell ref="B35:B36"/>
    <mergeCell ref="B39:B40"/>
    <mergeCell ref="B37:B38"/>
    <mergeCell ref="A42:X42"/>
    <mergeCell ref="A43:A44"/>
    <mergeCell ref="B43:C44"/>
    <mergeCell ref="D43:I43"/>
    <mergeCell ref="J43:O43"/>
    <mergeCell ref="P43:V43"/>
    <mergeCell ref="W43:X43"/>
    <mergeCell ref="A45:A62"/>
    <mergeCell ref="B45:B46"/>
    <mergeCell ref="B47:B48"/>
    <mergeCell ref="B49:B50"/>
    <mergeCell ref="B51:B52"/>
    <mergeCell ref="B55:B56"/>
    <mergeCell ref="B57:B58"/>
    <mergeCell ref="B61:B62"/>
    <mergeCell ref="B53:B54"/>
    <mergeCell ref="B59:B60"/>
    <mergeCell ref="A93:Z93"/>
    <mergeCell ref="A64:A75"/>
    <mergeCell ref="B64:B65"/>
    <mergeCell ref="B66:B67"/>
    <mergeCell ref="B68:B69"/>
    <mergeCell ref="B70:B71"/>
    <mergeCell ref="B74:B75"/>
    <mergeCell ref="B72:B73"/>
  </mergeCells>
  <pageMargins left="0.2638888888888889" right="0.32291666666666669" top="0.40486111111111112" bottom="0.26250000000000001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6"/>
  <sheetViews>
    <sheetView workbookViewId="0">
      <selection sqref="A1:X1"/>
    </sheetView>
  </sheetViews>
  <sheetFormatPr defaultColWidth="11.7109375" defaultRowHeight="15"/>
  <cols>
    <col min="1" max="1" width="4.140625" style="31" customWidth="1"/>
    <col min="2" max="2" width="13.85546875" style="31" customWidth="1"/>
    <col min="3" max="3" width="8.85546875" style="31" customWidth="1"/>
    <col min="4" max="4" width="8.42578125" style="31" bestFit="1" customWidth="1"/>
    <col min="5" max="5" width="11.42578125" style="31" bestFit="1" customWidth="1"/>
    <col min="6" max="6" width="8.140625" style="31" customWidth="1"/>
    <col min="7" max="7" width="6.5703125" style="31" customWidth="1"/>
    <col min="8" max="8" width="7.42578125" style="31" bestFit="1" customWidth="1"/>
    <col min="9" max="9" width="8.28515625" style="31" customWidth="1"/>
    <col min="10" max="10" width="8.42578125" style="31" bestFit="1" customWidth="1"/>
    <col min="11" max="11" width="11.42578125" style="31" bestFit="1" customWidth="1"/>
    <col min="12" max="12" width="8.42578125" style="31" customWidth="1"/>
    <col min="13" max="13" width="5.5703125" style="31" bestFit="1" customWidth="1"/>
    <col min="14" max="14" width="7.42578125" style="31" bestFit="1" customWidth="1"/>
    <col min="15" max="15" width="8.85546875" style="31" customWidth="1"/>
    <col min="16" max="16" width="12.5703125" style="31" bestFit="1" customWidth="1"/>
    <col min="17" max="17" width="8.140625" style="31" customWidth="1"/>
    <col min="18" max="18" width="6.5703125" style="31" bestFit="1" customWidth="1"/>
    <col min="19" max="19" width="8.85546875" style="31" customWidth="1"/>
    <col min="20" max="20" width="9" style="31" customWidth="1"/>
    <col min="21" max="21" width="7.85546875" style="31" customWidth="1"/>
    <col min="22" max="22" width="8.28515625" style="31" customWidth="1"/>
    <col min="23" max="24" width="12.42578125" style="31" customWidth="1"/>
    <col min="25" max="44" width="11.7109375" style="31" hidden="1" customWidth="1"/>
    <col min="45" max="45" width="1.42578125" style="31" hidden="1" customWidth="1"/>
    <col min="46" max="46" width="11.7109375" style="31" hidden="1" customWidth="1"/>
    <col min="47" max="16384" width="11.7109375" style="31"/>
  </cols>
  <sheetData>
    <row r="1" spans="1:45" ht="46.5">
      <c r="A1" s="210" t="s">
        <v>104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2"/>
    </row>
    <row r="2" spans="1:45" ht="28.5">
      <c r="A2" s="213" t="s">
        <v>114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5"/>
    </row>
    <row r="3" spans="1:45" ht="28.5">
      <c r="A3" s="213" t="s">
        <v>105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5"/>
    </row>
    <row r="4" spans="1:45" ht="28.5">
      <c r="A4" s="213" t="s">
        <v>106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5"/>
    </row>
    <row r="5" spans="1:45" ht="20.25" customHeight="1">
      <c r="A5" s="216" t="s">
        <v>108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8"/>
    </row>
    <row r="6" spans="1:45" ht="19.5" thickBot="1">
      <c r="A6" s="198" t="s">
        <v>167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200"/>
    </row>
    <row r="7" spans="1:45" ht="15.75" thickBot="1">
      <c r="A7" s="188" t="s">
        <v>103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45" ht="27.75" customHeight="1" thickBot="1">
      <c r="A8" s="225" t="s">
        <v>4</v>
      </c>
      <c r="B8" s="191" t="s">
        <v>5</v>
      </c>
      <c r="C8" s="191"/>
      <c r="D8" s="193" t="s">
        <v>6</v>
      </c>
      <c r="E8" s="193"/>
      <c r="F8" s="193"/>
      <c r="G8" s="193"/>
      <c r="H8" s="193"/>
      <c r="I8" s="193"/>
      <c r="J8" s="194" t="s">
        <v>7</v>
      </c>
      <c r="K8" s="194"/>
      <c r="L8" s="194"/>
      <c r="M8" s="194"/>
      <c r="N8" s="194"/>
      <c r="O8" s="194"/>
      <c r="P8" s="195" t="s">
        <v>8</v>
      </c>
      <c r="Q8" s="195"/>
      <c r="R8" s="195"/>
      <c r="S8" s="195"/>
      <c r="T8" s="195"/>
      <c r="U8" s="195"/>
      <c r="V8" s="195"/>
      <c r="W8" s="227" t="s">
        <v>9</v>
      </c>
      <c r="X8" s="227"/>
    </row>
    <row r="9" spans="1:45" ht="63.75">
      <c r="A9" s="226"/>
      <c r="B9" s="192"/>
      <c r="C9" s="192"/>
      <c r="D9" s="3" t="s">
        <v>10</v>
      </c>
      <c r="E9" s="3" t="s">
        <v>11</v>
      </c>
      <c r="F9" s="4" t="s">
        <v>12</v>
      </c>
      <c r="G9" s="4" t="s">
        <v>133</v>
      </c>
      <c r="H9" s="4" t="s">
        <v>13</v>
      </c>
      <c r="I9" s="4" t="s">
        <v>14</v>
      </c>
      <c r="J9" s="3" t="s">
        <v>10</v>
      </c>
      <c r="K9" s="3" t="s">
        <v>15</v>
      </c>
      <c r="L9" s="4" t="s">
        <v>12</v>
      </c>
      <c r="M9" s="4" t="s">
        <v>133</v>
      </c>
      <c r="N9" s="4" t="s">
        <v>13</v>
      </c>
      <c r="O9" s="4" t="s">
        <v>14</v>
      </c>
      <c r="P9" s="5" t="s">
        <v>157</v>
      </c>
      <c r="Q9" s="13" t="s">
        <v>158</v>
      </c>
      <c r="R9" s="5" t="s">
        <v>18</v>
      </c>
      <c r="S9" s="5" t="s">
        <v>19</v>
      </c>
      <c r="T9" s="5" t="s">
        <v>20</v>
      </c>
      <c r="U9" s="5" t="s">
        <v>139</v>
      </c>
      <c r="V9" s="5" t="s">
        <v>21</v>
      </c>
      <c r="W9" s="5" t="s">
        <v>22</v>
      </c>
      <c r="X9" s="5" t="s">
        <v>23</v>
      </c>
    </row>
    <row r="10" spans="1:45" ht="18" customHeight="1">
      <c r="A10" s="231" t="s">
        <v>43</v>
      </c>
      <c r="B10" s="235" t="s">
        <v>47</v>
      </c>
      <c r="C10" s="71" t="s">
        <v>26</v>
      </c>
      <c r="D10" s="72">
        <v>744499.74</v>
      </c>
      <c r="E10" s="106">
        <f>((D10*95%*3.283%)-((D10*95%*3.283%)*40%)+13434)+((D10*95%*3.283%)-((D10*95%*3.283%)*40%)+13434)*18%+(D10*95%*0.1%+250)+(D10*95%*0.1%+250)*18%-IF((((D10*95%*3.283%)-((D10*95%*3.283%)*40%))*2.5%)&gt;500,500,(((D10*95%*3.283%)-((D10*95%*3.283%)*40%))*2.5%))-IF((((D10*95%*3.283%)-((D10*95%*3.283%)*40%))*2.5%)&gt;500,500,(((D10*95%*3.283%)-((D10*95%*3.283%)*40%))*2.5%))*18%</f>
        <v>33010.352954865397</v>
      </c>
      <c r="F10" s="72">
        <f t="shared" ref="F10:F17" si="0">(D10*11/100)+(D10*11/100)*2/100+1500</f>
        <v>85032.870827999999</v>
      </c>
      <c r="G10" s="72">
        <v>600</v>
      </c>
      <c r="H10" s="72">
        <v>3199</v>
      </c>
      <c r="I10" s="73">
        <f t="shared" ref="I10:I17" si="1">D10+E10+F10+H10+G10</f>
        <v>866341.96378286544</v>
      </c>
      <c r="J10" s="72">
        <f t="shared" ref="J10:J17" si="2">D10</f>
        <v>744499.74</v>
      </c>
      <c r="K10" s="106">
        <f t="shared" ref="K10:K17" si="3">((J10*95%*3.283%)-((J10*95%*3.283%)*40%)+11184)+((J10*95%*3.283%)-((J10*95%*3.283%)*40%)+11184)*18%+(J10*95%*0.1%+250)+(J10*95%*0.1%+250)*18%-IF((((J10*95%*3.283%)-((J10*95%*3.283%)*40%))*2.5%)&gt;500,500,(((J10*95%*3.283%)-((J10*95%*3.283%)*40%))*2.5%))-IF((((J10*95%*3.283%)-((J10*95%*3.283%)*40%))*2.5%)&gt;500,500,(((J10*95%*3.283%)-((J10*95%*3.283%)*40%))*2.5%))*18%</f>
        <v>30355.352954865393</v>
      </c>
      <c r="L10" s="75">
        <f t="shared" ref="L10:L17" si="4">(J10*20/100)+(J10*20/100)*2/100+1500</f>
        <v>153377.94696</v>
      </c>
      <c r="M10" s="75">
        <v>600</v>
      </c>
      <c r="N10" s="72">
        <v>3199</v>
      </c>
      <c r="O10" s="73">
        <f t="shared" ref="O10:O17" si="5">J10+K10+L10+N10+M10</f>
        <v>932032.0399148654</v>
      </c>
      <c r="P10" s="75">
        <v>7458</v>
      </c>
      <c r="Q10" s="75">
        <v>4834</v>
      </c>
      <c r="R10" s="75">
        <v>7000</v>
      </c>
      <c r="S10" s="75">
        <f t="shared" ref="S10:S17" si="6">AB10</f>
        <v>5424.7973555100007</v>
      </c>
      <c r="T10" s="75">
        <f t="shared" ref="T10:T17" si="7">AB10</f>
        <v>5424.7973555100007</v>
      </c>
      <c r="U10" s="75">
        <f t="shared" ref="U10:U24" si="8">((D10*95%)*0.17%)*1.18</f>
        <v>1418.7931545179997</v>
      </c>
      <c r="V10" s="75">
        <v>7999</v>
      </c>
      <c r="W10" s="73">
        <f t="shared" ref="W10:W17" si="9">I10+P10+Q10+S10+V10+R10+U10</f>
        <v>900476.55429289339</v>
      </c>
      <c r="X10" s="84">
        <f t="shared" ref="X10:X17" si="10">O10+P10+Q10+T10+V10+R10+U10</f>
        <v>966166.63042489334</v>
      </c>
      <c r="Y10" s="32">
        <f t="shared" ref="Y10:Y17" si="11">D10*95/100</f>
        <v>707274.75300000003</v>
      </c>
      <c r="Z10" s="32">
        <f t="shared" ref="Z10:Z17" si="12">Y10*0.65/100</f>
        <v>4597.2858945000007</v>
      </c>
      <c r="AA10" s="32">
        <f t="shared" ref="AA10:AA17" si="13">Z10*18/100</f>
        <v>827.51146101000018</v>
      </c>
      <c r="AB10" s="32">
        <f t="shared" ref="AB10:AB17" si="14">Z10+AA10</f>
        <v>5424.7973555100007</v>
      </c>
      <c r="AP10" s="31">
        <v>895473</v>
      </c>
      <c r="AQ10" s="31">
        <v>964241</v>
      </c>
      <c r="AR10" s="32">
        <f t="shared" ref="AR10:AS17" si="15">+AP10-W10</f>
        <v>-5003.5542928933864</v>
      </c>
      <c r="AS10" s="32">
        <f t="shared" si="15"/>
        <v>-1925.6304248933448</v>
      </c>
    </row>
    <row r="11" spans="1:45" ht="18" customHeight="1">
      <c r="A11" s="232"/>
      <c r="B11" s="235"/>
      <c r="C11" s="71" t="s">
        <v>27</v>
      </c>
      <c r="D11" s="72">
        <v>748499.74</v>
      </c>
      <c r="E11" s="106">
        <f t="shared" ref="E11:E24" si="16">((D11*95%*3.283%)-((D11*95%*3.283%)*40%)+13434)+((D11*95%*3.283%)-((D11*95%*3.283%)*40%)+13434)*18%+(D11*95%*0.1%+250)+(D11*95%*0.1%+250)*18%-IF((((D11*95%*3.283%)-((D11*95%*3.283%)*40%))*2.5%)&gt;500,500,(((D11*95%*3.283%)-((D11*95%*3.283%)*40%))*2.5%))-IF((((D11*95%*3.283%)-((D11*95%*3.283%)*40%))*2.5%)&gt;500,500,(((D11*95%*3.283%)-((D11*95%*3.283%)*40%))*2.5%))*18%</f>
        <v>33100.954641065393</v>
      </c>
      <c r="F11" s="72">
        <f t="shared" si="0"/>
        <v>85481.670828000002</v>
      </c>
      <c r="G11" s="72">
        <v>600</v>
      </c>
      <c r="H11" s="72">
        <v>3199</v>
      </c>
      <c r="I11" s="73">
        <f t="shared" si="1"/>
        <v>870881.36546906549</v>
      </c>
      <c r="J11" s="72">
        <f t="shared" si="2"/>
        <v>748499.74</v>
      </c>
      <c r="K11" s="106">
        <f t="shared" si="3"/>
        <v>30445.954641065397</v>
      </c>
      <c r="L11" s="75">
        <f t="shared" si="4"/>
        <v>154193.94696</v>
      </c>
      <c r="M11" s="75">
        <v>600</v>
      </c>
      <c r="N11" s="72">
        <v>3199</v>
      </c>
      <c r="O11" s="73">
        <f t="shared" si="5"/>
        <v>936938.64160106541</v>
      </c>
      <c r="P11" s="75">
        <v>7458</v>
      </c>
      <c r="Q11" s="75">
        <v>4834</v>
      </c>
      <c r="R11" s="75">
        <v>7000</v>
      </c>
      <c r="S11" s="75">
        <f t="shared" si="6"/>
        <v>5453.9433555100004</v>
      </c>
      <c r="T11" s="75">
        <f t="shared" si="7"/>
        <v>5453.9433555100004</v>
      </c>
      <c r="U11" s="75">
        <f t="shared" si="8"/>
        <v>1426.4159545179998</v>
      </c>
      <c r="V11" s="75">
        <v>7999</v>
      </c>
      <c r="W11" s="73">
        <f t="shared" si="9"/>
        <v>905052.72477909352</v>
      </c>
      <c r="X11" s="84">
        <f t="shared" si="10"/>
        <v>971110.00091109343</v>
      </c>
      <c r="Y11" s="32">
        <f t="shared" si="11"/>
        <v>711074.75300000003</v>
      </c>
      <c r="Z11" s="32">
        <f t="shared" si="12"/>
        <v>4621.9858945000005</v>
      </c>
      <c r="AA11" s="32">
        <f t="shared" si="13"/>
        <v>831.95746101000009</v>
      </c>
      <c r="AB11" s="32">
        <f t="shared" si="14"/>
        <v>5453.9433555100004</v>
      </c>
      <c r="AP11" s="31">
        <v>900050</v>
      </c>
      <c r="AQ11" s="31">
        <v>969185</v>
      </c>
      <c r="AR11" s="32">
        <f t="shared" si="15"/>
        <v>-5002.7247790935216</v>
      </c>
      <c r="AS11" s="32">
        <f t="shared" si="15"/>
        <v>-1925.0009110934334</v>
      </c>
    </row>
    <row r="12" spans="1:45" ht="18" customHeight="1">
      <c r="A12" s="232"/>
      <c r="B12" s="235" t="s">
        <v>48</v>
      </c>
      <c r="C12" s="71" t="s">
        <v>26</v>
      </c>
      <c r="D12" s="72">
        <v>788999.74</v>
      </c>
      <c r="E12" s="106">
        <f t="shared" si="16"/>
        <v>34018.296713840391</v>
      </c>
      <c r="F12" s="72">
        <f t="shared" si="0"/>
        <v>90025.770828000008</v>
      </c>
      <c r="G12" s="72">
        <v>600</v>
      </c>
      <c r="H12" s="72">
        <v>3199</v>
      </c>
      <c r="I12" s="73">
        <f t="shared" si="1"/>
        <v>916842.80754184048</v>
      </c>
      <c r="J12" s="72">
        <f t="shared" si="2"/>
        <v>788999.74</v>
      </c>
      <c r="K12" s="106">
        <f t="shared" si="3"/>
        <v>31363.296713840391</v>
      </c>
      <c r="L12" s="75">
        <f t="shared" si="4"/>
        <v>162455.94696</v>
      </c>
      <c r="M12" s="75">
        <v>600</v>
      </c>
      <c r="N12" s="72">
        <v>3199</v>
      </c>
      <c r="O12" s="73">
        <f t="shared" si="5"/>
        <v>986617.98367384041</v>
      </c>
      <c r="P12" s="75">
        <v>7458</v>
      </c>
      <c r="Q12" s="75">
        <v>4834</v>
      </c>
      <c r="R12" s="75">
        <v>7000</v>
      </c>
      <c r="S12" s="75">
        <f t="shared" si="6"/>
        <v>5749.0466055100005</v>
      </c>
      <c r="T12" s="72">
        <f t="shared" si="7"/>
        <v>5749.0466055100005</v>
      </c>
      <c r="U12" s="75">
        <f t="shared" si="8"/>
        <v>1503.5968045179998</v>
      </c>
      <c r="V12" s="75">
        <v>7999</v>
      </c>
      <c r="W12" s="73">
        <f t="shared" si="9"/>
        <v>951386.45095186855</v>
      </c>
      <c r="X12" s="84">
        <f t="shared" si="10"/>
        <v>1021161.6270838685</v>
      </c>
      <c r="Y12" s="32">
        <f t="shared" si="11"/>
        <v>749549.75300000003</v>
      </c>
      <c r="Z12" s="32">
        <f t="shared" si="12"/>
        <v>4872.0733945000002</v>
      </c>
      <c r="AA12" s="32">
        <f t="shared" si="13"/>
        <v>876.97321101000011</v>
      </c>
      <c r="AB12" s="32">
        <f t="shared" si="14"/>
        <v>5749.0466055100005</v>
      </c>
      <c r="AP12" s="31">
        <v>951752</v>
      </c>
      <c r="AQ12" s="31">
        <v>1025036</v>
      </c>
      <c r="AR12" s="32">
        <f t="shared" si="15"/>
        <v>365.54904813144822</v>
      </c>
      <c r="AS12" s="32">
        <f t="shared" si="15"/>
        <v>3874.3729161315132</v>
      </c>
    </row>
    <row r="13" spans="1:45" ht="18" customHeight="1">
      <c r="A13" s="232"/>
      <c r="B13" s="235"/>
      <c r="C13" s="71" t="s">
        <v>27</v>
      </c>
      <c r="D13" s="72">
        <v>792999.73</v>
      </c>
      <c r="E13" s="106">
        <f t="shared" si="16"/>
        <v>34108.898173536174</v>
      </c>
      <c r="F13" s="72">
        <f t="shared" si="0"/>
        <v>90474.56970599998</v>
      </c>
      <c r="G13" s="72">
        <v>600</v>
      </c>
      <c r="H13" s="72">
        <v>3199</v>
      </c>
      <c r="I13" s="73">
        <f t="shared" si="1"/>
        <v>921382.19787953608</v>
      </c>
      <c r="J13" s="72">
        <f t="shared" si="2"/>
        <v>792999.73</v>
      </c>
      <c r="K13" s="106">
        <f t="shared" si="3"/>
        <v>31453.898173536178</v>
      </c>
      <c r="L13" s="75">
        <f t="shared" si="4"/>
        <v>163271.94492000001</v>
      </c>
      <c r="M13" s="75">
        <v>600</v>
      </c>
      <c r="N13" s="72">
        <v>3199</v>
      </c>
      <c r="O13" s="73">
        <f t="shared" si="5"/>
        <v>991524.57309353619</v>
      </c>
      <c r="P13" s="75">
        <v>7458</v>
      </c>
      <c r="Q13" s="75">
        <v>4834</v>
      </c>
      <c r="R13" s="75">
        <v>7000</v>
      </c>
      <c r="S13" s="75">
        <f t="shared" si="6"/>
        <v>5778.192532645</v>
      </c>
      <c r="T13" s="72">
        <f t="shared" si="7"/>
        <v>5778.192532645</v>
      </c>
      <c r="U13" s="75">
        <f t="shared" si="8"/>
        <v>1511.219585461</v>
      </c>
      <c r="V13" s="75">
        <v>7999</v>
      </c>
      <c r="W13" s="73">
        <f t="shared" si="9"/>
        <v>955962.60999764199</v>
      </c>
      <c r="X13" s="84">
        <f t="shared" si="10"/>
        <v>1026104.9852116421</v>
      </c>
      <c r="Y13" s="32">
        <f t="shared" si="11"/>
        <v>753349.74349999998</v>
      </c>
      <c r="Z13" s="32">
        <f t="shared" si="12"/>
        <v>4896.77333275</v>
      </c>
      <c r="AA13" s="32">
        <f t="shared" si="13"/>
        <v>881.41919989500002</v>
      </c>
      <c r="AB13" s="32">
        <f t="shared" si="14"/>
        <v>5778.192532645</v>
      </c>
      <c r="AP13" s="31">
        <v>956328</v>
      </c>
      <c r="AQ13" s="31">
        <v>1029979</v>
      </c>
      <c r="AR13" s="32">
        <f t="shared" si="15"/>
        <v>365.39000235800631</v>
      </c>
      <c r="AS13" s="32">
        <f t="shared" si="15"/>
        <v>3874.0147883578902</v>
      </c>
    </row>
    <row r="14" spans="1:45" ht="18" customHeight="1">
      <c r="A14" s="232"/>
      <c r="B14" s="235" t="s">
        <v>50</v>
      </c>
      <c r="C14" s="71" t="s">
        <v>26</v>
      </c>
      <c r="D14" s="72">
        <v>865499.7</v>
      </c>
      <c r="E14" s="106">
        <f t="shared" si="16"/>
        <v>35751.053056398523</v>
      </c>
      <c r="F14" s="72">
        <f t="shared" si="0"/>
        <v>98609.06633999999</v>
      </c>
      <c r="G14" s="72">
        <v>600</v>
      </c>
      <c r="H14" s="72">
        <v>3199</v>
      </c>
      <c r="I14" s="73">
        <f t="shared" si="1"/>
        <v>1003658.8193963985</v>
      </c>
      <c r="J14" s="77">
        <f>D14</f>
        <v>865499.7</v>
      </c>
      <c r="K14" s="106">
        <f t="shared" si="3"/>
        <v>33096.053056398523</v>
      </c>
      <c r="L14" s="75">
        <f t="shared" si="4"/>
        <v>178061.9388</v>
      </c>
      <c r="M14" s="75">
        <v>600</v>
      </c>
      <c r="N14" s="72">
        <v>3199</v>
      </c>
      <c r="O14" s="73">
        <f t="shared" si="5"/>
        <v>1080456.6918563985</v>
      </c>
      <c r="P14" s="75">
        <v>7458</v>
      </c>
      <c r="Q14" s="75">
        <v>4834</v>
      </c>
      <c r="R14" s="75">
        <v>7000</v>
      </c>
      <c r="S14" s="76">
        <f>AB14</f>
        <v>6306.4635640500001</v>
      </c>
      <c r="T14" s="76">
        <f>AB14</f>
        <v>6306.4635640500001</v>
      </c>
      <c r="U14" s="75">
        <f t="shared" si="8"/>
        <v>1649.3827782899998</v>
      </c>
      <c r="V14" s="75">
        <v>7999</v>
      </c>
      <c r="W14" s="73">
        <f t="shared" si="9"/>
        <v>1038905.6657387385</v>
      </c>
      <c r="X14" s="84">
        <f t="shared" si="10"/>
        <v>1115703.5381987384</v>
      </c>
      <c r="Y14" s="32">
        <f>D14*95/100</f>
        <v>822224.71499999997</v>
      </c>
      <c r="Z14" s="32">
        <f>Y14*0.65/100</f>
        <v>5344.4606475000001</v>
      </c>
      <c r="AA14" s="32">
        <f>Z14*18/100</f>
        <v>962.00291655000012</v>
      </c>
      <c r="AB14" s="32">
        <f>Z14+AA14</f>
        <v>6306.4635640500001</v>
      </c>
      <c r="AP14" s="31">
        <v>1017595</v>
      </c>
      <c r="AQ14" s="31">
        <v>1096162</v>
      </c>
      <c r="AR14" s="32">
        <f t="shared" si="15"/>
        <v>-21310.665738738491</v>
      </c>
      <c r="AS14" s="32">
        <f t="shared" si="15"/>
        <v>-19541.538198738359</v>
      </c>
    </row>
    <row r="15" spans="1:45" ht="18" customHeight="1">
      <c r="A15" s="232"/>
      <c r="B15" s="235"/>
      <c r="C15" s="71" t="s">
        <v>27</v>
      </c>
      <c r="D15" s="72">
        <v>869499.7</v>
      </c>
      <c r="E15" s="106">
        <f t="shared" si="16"/>
        <v>35841.654742598526</v>
      </c>
      <c r="F15" s="72">
        <f t="shared" si="0"/>
        <v>99057.866339999993</v>
      </c>
      <c r="G15" s="72">
        <v>600</v>
      </c>
      <c r="H15" s="72">
        <v>3199</v>
      </c>
      <c r="I15" s="73">
        <f t="shared" si="1"/>
        <v>1008198.2210825984</v>
      </c>
      <c r="J15" s="77">
        <f>D15</f>
        <v>869499.7</v>
      </c>
      <c r="K15" s="106">
        <f t="shared" si="3"/>
        <v>33186.654742598526</v>
      </c>
      <c r="L15" s="75">
        <f t="shared" si="4"/>
        <v>178877.9388</v>
      </c>
      <c r="M15" s="75">
        <v>600</v>
      </c>
      <c r="N15" s="72">
        <v>3199</v>
      </c>
      <c r="O15" s="73">
        <f t="shared" si="5"/>
        <v>1085363.2935425984</v>
      </c>
      <c r="P15" s="77">
        <v>7458</v>
      </c>
      <c r="Q15" s="77">
        <v>4834</v>
      </c>
      <c r="R15" s="77">
        <v>7000</v>
      </c>
      <c r="S15" s="76">
        <f>AB15</f>
        <v>6335.6095640499998</v>
      </c>
      <c r="T15" s="76">
        <f>AB15</f>
        <v>6335.6095640499998</v>
      </c>
      <c r="U15" s="75">
        <f t="shared" si="8"/>
        <v>1657.0055782899999</v>
      </c>
      <c r="V15" s="77">
        <v>7999</v>
      </c>
      <c r="W15" s="73">
        <f t="shared" si="9"/>
        <v>1043481.8362249384</v>
      </c>
      <c r="X15" s="84">
        <f t="shared" si="10"/>
        <v>1120646.9086849384</v>
      </c>
      <c r="Y15" s="32">
        <f>D15*95/100</f>
        <v>826024.71499999997</v>
      </c>
      <c r="Z15" s="32">
        <f>Y15*0.65/100</f>
        <v>5369.1606474999999</v>
      </c>
      <c r="AA15" s="32">
        <f>Z15*18/100</f>
        <v>966.44891655000004</v>
      </c>
      <c r="AB15" s="32">
        <f>Z15+AA15</f>
        <v>6335.6095640499998</v>
      </c>
      <c r="AP15" s="31">
        <v>1022171</v>
      </c>
      <c r="AQ15" s="31">
        <v>1101105</v>
      </c>
      <c r="AR15" s="32">
        <f t="shared" si="15"/>
        <v>-21310.836224938394</v>
      </c>
      <c r="AS15" s="32">
        <f t="shared" si="15"/>
        <v>-19541.908684938448</v>
      </c>
    </row>
    <row r="16" spans="1:45" ht="18" customHeight="1">
      <c r="A16" s="232"/>
      <c r="B16" s="237" t="s">
        <v>156</v>
      </c>
      <c r="C16" s="71" t="s">
        <v>26</v>
      </c>
      <c r="D16" s="72">
        <v>908999.69</v>
      </c>
      <c r="E16" s="106">
        <f t="shared" si="16"/>
        <v>36736.346167319316</v>
      </c>
      <c r="F16" s="72">
        <f t="shared" si="0"/>
        <v>103489.765218</v>
      </c>
      <c r="G16" s="72">
        <v>600</v>
      </c>
      <c r="H16" s="72">
        <v>3199</v>
      </c>
      <c r="I16" s="73">
        <f t="shared" si="1"/>
        <v>1053024.8013853193</v>
      </c>
      <c r="J16" s="77">
        <f t="shared" si="2"/>
        <v>908999.69</v>
      </c>
      <c r="K16" s="106">
        <f t="shared" si="3"/>
        <v>34081.346167319316</v>
      </c>
      <c r="L16" s="75">
        <f t="shared" si="4"/>
        <v>186935.93675999995</v>
      </c>
      <c r="M16" s="75">
        <v>600</v>
      </c>
      <c r="N16" s="72">
        <v>3199</v>
      </c>
      <c r="O16" s="73">
        <f t="shared" si="5"/>
        <v>1133815.9729273194</v>
      </c>
      <c r="P16" s="75">
        <v>7458</v>
      </c>
      <c r="Q16" s="75">
        <v>4834</v>
      </c>
      <c r="R16" s="75">
        <v>7000</v>
      </c>
      <c r="S16" s="76">
        <f t="shared" si="6"/>
        <v>6623.4262411849995</v>
      </c>
      <c r="T16" s="76">
        <f t="shared" si="7"/>
        <v>6623.4262411849995</v>
      </c>
      <c r="U16" s="75">
        <f t="shared" si="8"/>
        <v>1732.2807092329999</v>
      </c>
      <c r="V16" s="75">
        <v>7999</v>
      </c>
      <c r="W16" s="73">
        <f t="shared" si="9"/>
        <v>1088671.5083357373</v>
      </c>
      <c r="X16" s="84">
        <f t="shared" si="10"/>
        <v>1169462.6798777373</v>
      </c>
      <c r="Y16" s="32">
        <f t="shared" si="11"/>
        <v>863549.70549999992</v>
      </c>
      <c r="Z16" s="32">
        <f t="shared" si="12"/>
        <v>5613.0730857499993</v>
      </c>
      <c r="AA16" s="32">
        <f t="shared" si="13"/>
        <v>1010.353155435</v>
      </c>
      <c r="AB16" s="32">
        <f t="shared" si="14"/>
        <v>6623.4262411849995</v>
      </c>
      <c r="AP16" s="31">
        <v>1023315</v>
      </c>
      <c r="AQ16" s="31">
        <v>1102341</v>
      </c>
      <c r="AR16" s="32">
        <f t="shared" si="15"/>
        <v>-65356.508335737279</v>
      </c>
      <c r="AS16" s="32">
        <f t="shared" si="15"/>
        <v>-67121.679877737304</v>
      </c>
    </row>
    <row r="17" spans="1:45" ht="18" customHeight="1" thickBot="1">
      <c r="A17" s="233"/>
      <c r="B17" s="238"/>
      <c r="C17" s="85" t="s">
        <v>27</v>
      </c>
      <c r="D17" s="87">
        <v>912999.7</v>
      </c>
      <c r="E17" s="106">
        <f t="shared" si="16"/>
        <v>36826.948080023532</v>
      </c>
      <c r="F17" s="86">
        <f t="shared" si="0"/>
        <v>103938.56633999999</v>
      </c>
      <c r="G17" s="86">
        <v>600</v>
      </c>
      <c r="H17" s="86">
        <v>3199</v>
      </c>
      <c r="I17" s="88">
        <f t="shared" si="1"/>
        <v>1057564.2144200234</v>
      </c>
      <c r="J17" s="90">
        <f t="shared" si="2"/>
        <v>912999.7</v>
      </c>
      <c r="K17" s="107">
        <f t="shared" si="3"/>
        <v>34171.948080023532</v>
      </c>
      <c r="L17" s="89">
        <f t="shared" si="4"/>
        <v>187751.9388</v>
      </c>
      <c r="M17" s="89">
        <v>600</v>
      </c>
      <c r="N17" s="86">
        <v>3199</v>
      </c>
      <c r="O17" s="88">
        <f t="shared" si="5"/>
        <v>1138722.5868800236</v>
      </c>
      <c r="P17" s="90">
        <v>7458</v>
      </c>
      <c r="Q17" s="90">
        <v>4834</v>
      </c>
      <c r="R17" s="90">
        <v>7000</v>
      </c>
      <c r="S17" s="87">
        <f t="shared" si="6"/>
        <v>6652.5723140500004</v>
      </c>
      <c r="T17" s="87">
        <f t="shared" si="7"/>
        <v>6652.5723140500004</v>
      </c>
      <c r="U17" s="89">
        <f t="shared" si="8"/>
        <v>1739.9035282899999</v>
      </c>
      <c r="V17" s="90">
        <v>7999</v>
      </c>
      <c r="W17" s="88">
        <f t="shared" si="9"/>
        <v>1093247.6902623635</v>
      </c>
      <c r="X17" s="101">
        <f t="shared" si="10"/>
        <v>1174406.0627223637</v>
      </c>
      <c r="Y17" s="32">
        <f t="shared" si="11"/>
        <v>867349.71499999997</v>
      </c>
      <c r="Z17" s="32">
        <f t="shared" si="12"/>
        <v>5637.7731475000001</v>
      </c>
      <c r="AA17" s="32">
        <f t="shared" si="13"/>
        <v>1014.7991665500001</v>
      </c>
      <c r="AB17" s="32">
        <f t="shared" si="14"/>
        <v>6652.5723140500004</v>
      </c>
      <c r="AP17" s="31">
        <v>1027892</v>
      </c>
      <c r="AQ17" s="31">
        <v>1107286</v>
      </c>
      <c r="AR17" s="32">
        <f t="shared" si="15"/>
        <v>-65355.690262363525</v>
      </c>
      <c r="AS17" s="32">
        <f t="shared" si="15"/>
        <v>-67120.062722363742</v>
      </c>
    </row>
    <row r="18" spans="1:45" ht="18" customHeight="1">
      <c r="E18" s="108"/>
      <c r="K18" s="108"/>
    </row>
    <row r="19" spans="1:45" ht="18" customHeight="1">
      <c r="A19" s="228" t="s">
        <v>51</v>
      </c>
      <c r="B19" s="235" t="s">
        <v>45</v>
      </c>
      <c r="C19" s="71" t="s">
        <v>26</v>
      </c>
      <c r="D19" s="72">
        <v>815499.71</v>
      </c>
      <c r="E19" s="106">
        <f t="shared" si="16"/>
        <v>34618.532205402749</v>
      </c>
      <c r="F19" s="72">
        <f t="shared" ref="F19:F24" si="17">(D19*13/100)+(D19*13/100)*2/100+1500</f>
        <v>109635.26154599999</v>
      </c>
      <c r="G19" s="72">
        <v>600</v>
      </c>
      <c r="H19" s="72">
        <v>3199</v>
      </c>
      <c r="I19" s="73">
        <f t="shared" ref="I19:I24" si="18">D19+E19+F19+H19+G19</f>
        <v>963552.50375140272</v>
      </c>
      <c r="J19" s="72">
        <f t="shared" ref="J19:J24" si="19">D19</f>
        <v>815499.71</v>
      </c>
      <c r="K19" s="106">
        <f t="shared" ref="K19:K24" si="20">((J19*95%*3.283%)-((J19*95%*3.283%)*40%)+11184)+((J19*95%*3.283%)-((J19*95%*3.283%)*40%)+11184)*18%+(J19*95%*0.1%+250)+(J19*95%*0.1%+250)*18%-IF((((J19*95%*3.283%)-((J19*95%*3.283%)*40%))*2.5%)&gt;500,500,(((J19*95%*3.283%)-((J19*95%*3.283%)*40%))*2.5%))-IF((((J19*95%*3.283%)-((J19*95%*3.283%)*40%))*2.5%)&gt;500,500,(((J19*95%*3.283%)-((J19*95%*3.283%)*40%))*2.5%))*18%</f>
        <v>31963.532205402746</v>
      </c>
      <c r="L19" s="75">
        <f t="shared" ref="L19:L24" si="21">(J19*20/100)+(J19*20/100)*2/100+1500</f>
        <v>167861.94083999997</v>
      </c>
      <c r="M19" s="75">
        <v>600</v>
      </c>
      <c r="N19" s="72">
        <v>3199</v>
      </c>
      <c r="O19" s="73">
        <f t="shared" ref="O19:O24" si="22">J19+K19+L19+N19+M19</f>
        <v>1019124.1830454026</v>
      </c>
      <c r="P19" s="75">
        <v>8804</v>
      </c>
      <c r="Q19" s="75">
        <v>4834</v>
      </c>
      <c r="R19" s="75">
        <v>7000</v>
      </c>
      <c r="S19" s="75">
        <f t="shared" ref="S19:S24" si="23">AB19</f>
        <v>5942.1386369150005</v>
      </c>
      <c r="T19" s="75">
        <f t="shared" ref="T19:T24" si="24">AB19</f>
        <v>5942.1386369150005</v>
      </c>
      <c r="U19" s="75">
        <f t="shared" si="8"/>
        <v>1554.0977973469999</v>
      </c>
      <c r="V19" s="75">
        <v>7999</v>
      </c>
      <c r="W19" s="73">
        <f t="shared" ref="W19:W24" si="25">I19+P19+Q19+S19+V19+R19+U19</f>
        <v>999685.74018566473</v>
      </c>
      <c r="X19" s="84">
        <f t="shared" ref="X19:X24" si="26">O19+P19+Q19+T19+V19+R19+U19</f>
        <v>1055257.4194796646</v>
      </c>
      <c r="Y19" s="32">
        <f t="shared" ref="Y19:Y24" si="27">D19*95/100</f>
        <v>774724.72450000001</v>
      </c>
      <c r="Z19" s="32">
        <f t="shared" ref="Z19:Z24" si="28">Y19*0.65/100</f>
        <v>5035.71070925</v>
      </c>
      <c r="AA19" s="32">
        <f t="shared" ref="AA19:AA24" si="29">Z19*18/100</f>
        <v>906.42792766499997</v>
      </c>
      <c r="AB19" s="32">
        <f t="shared" ref="AB19:AB24" si="30">Z19+AA19</f>
        <v>5942.1386369150005</v>
      </c>
      <c r="AP19" s="31">
        <v>985997</v>
      </c>
      <c r="AQ19" s="31">
        <v>1043987</v>
      </c>
      <c r="AR19" s="32">
        <f t="shared" ref="AR19:AS24" si="31">+AP19-W19</f>
        <v>-13688.740185664734</v>
      </c>
      <c r="AS19" s="32">
        <f t="shared" si="31"/>
        <v>-11270.419479664648</v>
      </c>
    </row>
    <row r="20" spans="1:45" ht="18" customHeight="1">
      <c r="A20" s="229"/>
      <c r="B20" s="235"/>
      <c r="C20" s="71" t="s">
        <v>27</v>
      </c>
      <c r="D20" s="72">
        <v>819499.71</v>
      </c>
      <c r="E20" s="106">
        <f t="shared" si="16"/>
        <v>34709.133891602738</v>
      </c>
      <c r="F20" s="72">
        <f t="shared" si="17"/>
        <v>110165.661546</v>
      </c>
      <c r="G20" s="72">
        <v>600</v>
      </c>
      <c r="H20" s="72">
        <v>3199</v>
      </c>
      <c r="I20" s="73">
        <f t="shared" si="18"/>
        <v>968173.50543760275</v>
      </c>
      <c r="J20" s="72">
        <f t="shared" si="19"/>
        <v>819499.71</v>
      </c>
      <c r="K20" s="106">
        <f t="shared" si="20"/>
        <v>32054.133891602749</v>
      </c>
      <c r="L20" s="75">
        <f t="shared" si="21"/>
        <v>168677.94083999997</v>
      </c>
      <c r="M20" s="75">
        <v>600</v>
      </c>
      <c r="N20" s="72">
        <v>3199</v>
      </c>
      <c r="O20" s="73">
        <f t="shared" si="22"/>
        <v>1024030.7847316026</v>
      </c>
      <c r="P20" s="75">
        <v>8804</v>
      </c>
      <c r="Q20" s="75">
        <v>4834</v>
      </c>
      <c r="R20" s="75">
        <v>7000</v>
      </c>
      <c r="S20" s="75">
        <f t="shared" si="23"/>
        <v>5971.2846369149993</v>
      </c>
      <c r="T20" s="75">
        <f t="shared" si="24"/>
        <v>5971.2846369149993</v>
      </c>
      <c r="U20" s="75">
        <f t="shared" si="8"/>
        <v>1561.7205973469997</v>
      </c>
      <c r="V20" s="75">
        <v>7999</v>
      </c>
      <c r="W20" s="73">
        <f t="shared" si="25"/>
        <v>1004343.5106718647</v>
      </c>
      <c r="X20" s="84">
        <f t="shared" si="26"/>
        <v>1060200.7899658645</v>
      </c>
      <c r="Y20" s="32">
        <f t="shared" si="27"/>
        <v>778524.72450000001</v>
      </c>
      <c r="Z20" s="32">
        <f t="shared" si="28"/>
        <v>5060.4107092499999</v>
      </c>
      <c r="AA20" s="32">
        <f t="shared" si="29"/>
        <v>910.87392766499988</v>
      </c>
      <c r="AB20" s="32">
        <f t="shared" si="30"/>
        <v>5971.2846369149993</v>
      </c>
      <c r="AP20" s="31">
        <v>990655</v>
      </c>
      <c r="AQ20" s="31">
        <v>1048931</v>
      </c>
      <c r="AR20" s="32">
        <f t="shared" si="31"/>
        <v>-13688.510671864729</v>
      </c>
      <c r="AS20" s="32">
        <f t="shared" si="31"/>
        <v>-11269.789965864504</v>
      </c>
    </row>
    <row r="21" spans="1:45" ht="18" customHeight="1">
      <c r="A21" s="229"/>
      <c r="B21" s="235" t="s">
        <v>47</v>
      </c>
      <c r="C21" s="71" t="s">
        <v>26</v>
      </c>
      <c r="D21" s="72">
        <v>896499.71</v>
      </c>
      <c r="E21" s="106">
        <f t="shared" si="16"/>
        <v>36453.216350952745</v>
      </c>
      <c r="F21" s="72">
        <f t="shared" si="17"/>
        <v>120375.861546</v>
      </c>
      <c r="G21" s="72">
        <v>600</v>
      </c>
      <c r="H21" s="72">
        <v>3199</v>
      </c>
      <c r="I21" s="73">
        <f t="shared" si="18"/>
        <v>1057127.7878969526</v>
      </c>
      <c r="J21" s="72">
        <f t="shared" si="19"/>
        <v>896499.71</v>
      </c>
      <c r="K21" s="106">
        <f t="shared" si="20"/>
        <v>33798.216350952745</v>
      </c>
      <c r="L21" s="75">
        <f t="shared" si="21"/>
        <v>184385.94083999997</v>
      </c>
      <c r="M21" s="75">
        <v>600</v>
      </c>
      <c r="N21" s="72">
        <v>3199</v>
      </c>
      <c r="O21" s="73">
        <f t="shared" si="22"/>
        <v>1118482.8671909526</v>
      </c>
      <c r="P21" s="75">
        <v>8804</v>
      </c>
      <c r="Q21" s="75">
        <v>4834</v>
      </c>
      <c r="R21" s="75">
        <v>7000</v>
      </c>
      <c r="S21" s="75">
        <f t="shared" si="23"/>
        <v>6532.3451369150007</v>
      </c>
      <c r="T21" s="75">
        <f t="shared" si="24"/>
        <v>6532.3451369150007</v>
      </c>
      <c r="U21" s="75">
        <f t="shared" si="8"/>
        <v>1708.4594973469998</v>
      </c>
      <c r="V21" s="75">
        <v>7999</v>
      </c>
      <c r="W21" s="73">
        <f t="shared" si="25"/>
        <v>1094005.5925312147</v>
      </c>
      <c r="X21" s="84">
        <f t="shared" si="26"/>
        <v>1155360.6718252148</v>
      </c>
      <c r="Y21" s="32">
        <f t="shared" si="27"/>
        <v>851674.72450000001</v>
      </c>
      <c r="Z21" s="32">
        <f t="shared" si="28"/>
        <v>5535.8857092500002</v>
      </c>
      <c r="AA21" s="32">
        <f t="shared" si="29"/>
        <v>996.45942766500002</v>
      </c>
      <c r="AB21" s="32">
        <f t="shared" si="30"/>
        <v>6532.3451369150007</v>
      </c>
      <c r="AP21" s="31">
        <v>1086891</v>
      </c>
      <c r="AQ21" s="31">
        <v>1151068</v>
      </c>
      <c r="AR21" s="32">
        <f t="shared" si="31"/>
        <v>-7114.592531214701</v>
      </c>
      <c r="AS21" s="32">
        <f t="shared" si="31"/>
        <v>-4292.6718252147548</v>
      </c>
    </row>
    <row r="22" spans="1:45" ht="18" customHeight="1">
      <c r="A22" s="229"/>
      <c r="B22" s="235"/>
      <c r="C22" s="71" t="s">
        <v>27</v>
      </c>
      <c r="D22" s="72">
        <v>900499.67</v>
      </c>
      <c r="E22" s="106">
        <f t="shared" si="16"/>
        <v>36543.817131135889</v>
      </c>
      <c r="F22" s="72">
        <f t="shared" si="17"/>
        <v>120906.25624200002</v>
      </c>
      <c r="G22" s="72">
        <v>600</v>
      </c>
      <c r="H22" s="72">
        <v>3199</v>
      </c>
      <c r="I22" s="73">
        <f t="shared" si="18"/>
        <v>1061748.7433731358</v>
      </c>
      <c r="J22" s="72">
        <f t="shared" si="19"/>
        <v>900499.67</v>
      </c>
      <c r="K22" s="106">
        <f t="shared" si="20"/>
        <v>33888.817131135889</v>
      </c>
      <c r="L22" s="75">
        <f t="shared" si="21"/>
        <v>185201.93268</v>
      </c>
      <c r="M22" s="75">
        <v>600</v>
      </c>
      <c r="N22" s="72">
        <v>3199</v>
      </c>
      <c r="O22" s="73">
        <f t="shared" si="22"/>
        <v>1123389.4198111359</v>
      </c>
      <c r="P22" s="75">
        <v>8804</v>
      </c>
      <c r="Q22" s="75">
        <v>4834</v>
      </c>
      <c r="R22" s="75">
        <v>7000</v>
      </c>
      <c r="S22" s="75">
        <f t="shared" si="23"/>
        <v>6561.4908454550014</v>
      </c>
      <c r="T22" s="75">
        <f t="shared" si="24"/>
        <v>6561.4908454550014</v>
      </c>
      <c r="U22" s="75">
        <f t="shared" si="8"/>
        <v>1716.0822211189998</v>
      </c>
      <c r="V22" s="75">
        <v>7999</v>
      </c>
      <c r="W22" s="73">
        <f t="shared" si="25"/>
        <v>1098663.3164397099</v>
      </c>
      <c r="X22" s="84">
        <f t="shared" si="26"/>
        <v>1160303.9928777099</v>
      </c>
      <c r="Y22" s="32">
        <f t="shared" si="27"/>
        <v>855474.68650000007</v>
      </c>
      <c r="Z22" s="32">
        <f t="shared" si="28"/>
        <v>5560.585462250001</v>
      </c>
      <c r="AA22" s="32">
        <f t="shared" si="29"/>
        <v>1000.9053832050002</v>
      </c>
      <c r="AB22" s="32">
        <f t="shared" si="30"/>
        <v>6561.4908454550014</v>
      </c>
      <c r="AP22" s="31">
        <v>1091550</v>
      </c>
      <c r="AQ22" s="31">
        <v>1156013</v>
      </c>
      <c r="AR22" s="32">
        <f t="shared" si="31"/>
        <v>-7113.316439709859</v>
      </c>
      <c r="AS22" s="32">
        <f t="shared" si="31"/>
        <v>-4290.9928777099121</v>
      </c>
    </row>
    <row r="23" spans="1:45" ht="18" customHeight="1">
      <c r="A23" s="229"/>
      <c r="B23" s="235" t="s">
        <v>48</v>
      </c>
      <c r="C23" s="71" t="s">
        <v>26</v>
      </c>
      <c r="D23" s="72">
        <v>940499.68</v>
      </c>
      <c r="E23" s="106">
        <f t="shared" si="16"/>
        <v>37449.834219640106</v>
      </c>
      <c r="F23" s="72">
        <f t="shared" si="17"/>
        <v>126210.257568</v>
      </c>
      <c r="G23" s="72">
        <v>600</v>
      </c>
      <c r="H23" s="72">
        <v>3199</v>
      </c>
      <c r="I23" s="73">
        <f t="shared" si="18"/>
        <v>1107958.7717876402</v>
      </c>
      <c r="J23" s="72">
        <f t="shared" si="19"/>
        <v>940499.68</v>
      </c>
      <c r="K23" s="106">
        <f t="shared" si="20"/>
        <v>34794.834219640106</v>
      </c>
      <c r="L23" s="72">
        <f t="shared" si="21"/>
        <v>193361.93472000002</v>
      </c>
      <c r="M23" s="75">
        <v>600</v>
      </c>
      <c r="N23" s="72">
        <v>3199</v>
      </c>
      <c r="O23" s="73">
        <f t="shared" si="22"/>
        <v>1172455.4489396401</v>
      </c>
      <c r="P23" s="75">
        <v>8804</v>
      </c>
      <c r="Q23" s="75">
        <v>4834</v>
      </c>
      <c r="R23" s="75">
        <v>7000</v>
      </c>
      <c r="S23" s="75">
        <f t="shared" si="23"/>
        <v>6852.9509183199998</v>
      </c>
      <c r="T23" s="72">
        <f t="shared" si="24"/>
        <v>6852.9509183199998</v>
      </c>
      <c r="U23" s="75">
        <f t="shared" si="8"/>
        <v>1792.310240176</v>
      </c>
      <c r="V23" s="75">
        <v>7999</v>
      </c>
      <c r="W23" s="73">
        <f t="shared" si="25"/>
        <v>1145241.0329461363</v>
      </c>
      <c r="X23" s="84">
        <f t="shared" si="26"/>
        <v>1209737.7100981362</v>
      </c>
      <c r="Y23" s="32">
        <f t="shared" si="27"/>
        <v>893474.69600000011</v>
      </c>
      <c r="Z23" s="32">
        <f t="shared" si="28"/>
        <v>5807.5855240000001</v>
      </c>
      <c r="AA23" s="32">
        <f t="shared" si="29"/>
        <v>1045.36539432</v>
      </c>
      <c r="AB23" s="32">
        <f t="shared" si="30"/>
        <v>6852.9509183199998</v>
      </c>
      <c r="AP23" s="31">
        <v>1136434</v>
      </c>
      <c r="AQ23" s="31">
        <v>1203645</v>
      </c>
      <c r="AR23" s="32">
        <f t="shared" si="31"/>
        <v>-8807.0329461363144</v>
      </c>
      <c r="AS23" s="32">
        <f t="shared" si="31"/>
        <v>-6092.7100981362164</v>
      </c>
    </row>
    <row r="24" spans="1:45" ht="18" customHeight="1" thickBot="1">
      <c r="A24" s="230"/>
      <c r="B24" s="236"/>
      <c r="C24" s="85" t="s">
        <v>27</v>
      </c>
      <c r="D24" s="86">
        <v>944499.69</v>
      </c>
      <c r="E24" s="106">
        <f t="shared" si="16"/>
        <v>37540.436132344315</v>
      </c>
      <c r="F24" s="86">
        <f t="shared" si="17"/>
        <v>126740.65889399999</v>
      </c>
      <c r="G24" s="86">
        <v>600</v>
      </c>
      <c r="H24" s="86">
        <v>3199</v>
      </c>
      <c r="I24" s="88">
        <f t="shared" si="18"/>
        <v>1112579.7850263442</v>
      </c>
      <c r="J24" s="86">
        <f t="shared" si="19"/>
        <v>944499.69</v>
      </c>
      <c r="K24" s="107">
        <f t="shared" si="20"/>
        <v>34885.436132344315</v>
      </c>
      <c r="L24" s="86">
        <f t="shared" si="21"/>
        <v>194177.93675999995</v>
      </c>
      <c r="M24" s="89">
        <v>600</v>
      </c>
      <c r="N24" s="86">
        <v>3199</v>
      </c>
      <c r="O24" s="88">
        <f t="shared" si="22"/>
        <v>1177362.0628923443</v>
      </c>
      <c r="P24" s="89">
        <v>8804</v>
      </c>
      <c r="Q24" s="89">
        <v>4834</v>
      </c>
      <c r="R24" s="89">
        <v>7000</v>
      </c>
      <c r="S24" s="89">
        <f t="shared" si="23"/>
        <v>6882.0969911849988</v>
      </c>
      <c r="T24" s="86">
        <f t="shared" si="24"/>
        <v>6882.0969911849988</v>
      </c>
      <c r="U24" s="89">
        <f t="shared" si="8"/>
        <v>1799.933059233</v>
      </c>
      <c r="V24" s="86">
        <v>7999</v>
      </c>
      <c r="W24" s="88">
        <f t="shared" si="25"/>
        <v>1149898.8150767623</v>
      </c>
      <c r="X24" s="101">
        <f t="shared" si="26"/>
        <v>1214681.0929427624</v>
      </c>
      <c r="Y24" s="32">
        <f t="shared" si="27"/>
        <v>897274.70549999992</v>
      </c>
      <c r="Z24" s="32">
        <f t="shared" si="28"/>
        <v>5832.285585749999</v>
      </c>
      <c r="AA24" s="32">
        <f t="shared" si="29"/>
        <v>1049.8114054349999</v>
      </c>
      <c r="AB24" s="32">
        <f t="shared" si="30"/>
        <v>6882.0969911849988</v>
      </c>
      <c r="AP24" s="31">
        <v>1141092</v>
      </c>
      <c r="AQ24" s="31">
        <v>1208592</v>
      </c>
      <c r="AR24" s="32">
        <f t="shared" si="31"/>
        <v>-8806.8150767623447</v>
      </c>
      <c r="AS24" s="32">
        <f t="shared" si="31"/>
        <v>-6089.0929427624214</v>
      </c>
    </row>
    <row r="25" spans="1:45" ht="15.75" thickBot="1"/>
    <row r="26" spans="1:45" ht="15.75" thickBot="1">
      <c r="A26" s="188" t="s">
        <v>102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</row>
    <row r="27" spans="1:45" ht="27.75" customHeight="1" thickBot="1">
      <c r="A27" s="225" t="s">
        <v>4</v>
      </c>
      <c r="B27" s="191" t="s">
        <v>5</v>
      </c>
      <c r="C27" s="191"/>
      <c r="D27" s="193" t="s">
        <v>6</v>
      </c>
      <c r="E27" s="193"/>
      <c r="F27" s="193"/>
      <c r="G27" s="193"/>
      <c r="H27" s="193"/>
      <c r="I27" s="193"/>
      <c r="J27" s="194" t="s">
        <v>7</v>
      </c>
      <c r="K27" s="194"/>
      <c r="L27" s="194"/>
      <c r="M27" s="194"/>
      <c r="N27" s="194"/>
      <c r="O27" s="194"/>
      <c r="P27" s="195" t="s">
        <v>8</v>
      </c>
      <c r="Q27" s="195"/>
      <c r="R27" s="195"/>
      <c r="S27" s="195"/>
      <c r="T27" s="195"/>
      <c r="U27" s="195"/>
      <c r="V27" s="195"/>
      <c r="W27" s="227" t="s">
        <v>9</v>
      </c>
      <c r="X27" s="227"/>
    </row>
    <row r="28" spans="1:45" ht="63.75">
      <c r="A28" s="226"/>
      <c r="B28" s="192"/>
      <c r="C28" s="192"/>
      <c r="D28" s="3" t="s">
        <v>10</v>
      </c>
      <c r="E28" s="3" t="s">
        <v>11</v>
      </c>
      <c r="F28" s="4" t="s">
        <v>12</v>
      </c>
      <c r="G28" s="4" t="s">
        <v>133</v>
      </c>
      <c r="H28" s="4" t="s">
        <v>13</v>
      </c>
      <c r="I28" s="4" t="s">
        <v>14</v>
      </c>
      <c r="J28" s="3" t="s">
        <v>10</v>
      </c>
      <c r="K28" s="3" t="s">
        <v>15</v>
      </c>
      <c r="L28" s="4" t="s">
        <v>12</v>
      </c>
      <c r="M28" s="4" t="s">
        <v>133</v>
      </c>
      <c r="N28" s="4" t="s">
        <v>13</v>
      </c>
      <c r="O28" s="4" t="s">
        <v>14</v>
      </c>
      <c r="P28" s="5" t="s">
        <v>157</v>
      </c>
      <c r="Q28" s="13" t="s">
        <v>17</v>
      </c>
      <c r="R28" s="5" t="s">
        <v>18</v>
      </c>
      <c r="S28" s="5" t="s">
        <v>19</v>
      </c>
      <c r="T28" s="5" t="s">
        <v>20</v>
      </c>
      <c r="U28" s="5" t="s">
        <v>139</v>
      </c>
      <c r="V28" s="5" t="s">
        <v>21</v>
      </c>
      <c r="W28" s="5" t="s">
        <v>22</v>
      </c>
      <c r="X28" s="5" t="s">
        <v>23</v>
      </c>
    </row>
    <row r="29" spans="1:45" ht="17.25" customHeight="1">
      <c r="A29" s="231" t="s">
        <v>43</v>
      </c>
      <c r="B29" s="235" t="s">
        <v>47</v>
      </c>
      <c r="C29" s="71" t="s">
        <v>26</v>
      </c>
      <c r="D29" s="72">
        <v>744499.74</v>
      </c>
      <c r="E29" s="106">
        <f t="shared" ref="E29:E43" si="32">((D29*95%*3.283%)-((D29*95%*3.283%)*40%)+13434)+((D29*95%*3.283%)-((D29*95%*3.283%)*40%)+13434)*18%+(D29*95%*0.1%+250)+(D29*95%*0.1%+250)*18%-IF((((D29*95%*3.283%)-((D29*95%*3.283%)*40%))*2.5%)&gt;500,500,(((D29*95%*3.283%)-((D29*95%*3.283%)*40%))*2.5%))-IF((((D29*95%*3.283%)-((D29*95%*3.283%)*40%))*2.5%)&gt;500,500,(((D29*95%*3.283%)-((D29*95%*3.283%)*40%))*2.5%))*18%</f>
        <v>33010.352954865397</v>
      </c>
      <c r="F29" s="72">
        <f t="shared" ref="F29:F36" si="33">(D29*11/100)+(D29*11/100)*2/100+1500</f>
        <v>85032.870827999999</v>
      </c>
      <c r="G29" s="72">
        <v>600</v>
      </c>
      <c r="H29" s="72">
        <v>3199</v>
      </c>
      <c r="I29" s="73">
        <f t="shared" ref="I29:I36" si="34">D29+E29+F29+H29+G29</f>
        <v>866341.96378286544</v>
      </c>
      <c r="J29" s="72">
        <f t="shared" ref="J29:J36" si="35">D29</f>
        <v>744499.74</v>
      </c>
      <c r="K29" s="106">
        <f t="shared" ref="K29:K36" si="36">((J29*95%*3.191%)-((J29*95%*3.191%)*40%)+11184)+((J29*95%*3.191%)-((J29*95%*3.191%)*40%)+11184)*18%+(J29*95%*0.1%+250)+(J29*95%*0.1%+250)*18%-IF((((J29*95%*3.191%)-((J29*95%*3.191%)*40%))*2.5%)&gt;500,500,(((J29*95%*3.191%)-((J29*95%*3.191%)*40%))*2.5%))-IF((((J29*95%*3.191%)-((J29*95%*3.191%)*40%))*2.5%)&gt;500,500,(((J29*95%*3.191%)-((J29*95%*3.191%)*40%))*2.5%))*18%</f>
        <v>29906.179733829162</v>
      </c>
      <c r="L29" s="75">
        <f t="shared" ref="L29:L36" si="37">(J29*20/100)+(J29*20/100)*2/100+1500</f>
        <v>153377.94696</v>
      </c>
      <c r="M29" s="75">
        <v>600</v>
      </c>
      <c r="N29" s="72">
        <v>3199</v>
      </c>
      <c r="O29" s="73">
        <f t="shared" ref="O29:O36" si="38">J29+K29+L29+N29+M29</f>
        <v>931582.86669382907</v>
      </c>
      <c r="P29" s="75">
        <v>7458</v>
      </c>
      <c r="Q29" s="75">
        <v>4834</v>
      </c>
      <c r="R29" s="75">
        <v>7000</v>
      </c>
      <c r="S29" s="75">
        <f t="shared" ref="S29:S36" si="39">AB29</f>
        <v>5424.7973555100007</v>
      </c>
      <c r="T29" s="75">
        <f t="shared" ref="T29:T36" si="40">AB29</f>
        <v>5424.7973555100007</v>
      </c>
      <c r="U29" s="75">
        <f t="shared" ref="U29:U43" si="41">((D29*95%)*0.17%)*1.18</f>
        <v>1418.7931545179997</v>
      </c>
      <c r="V29" s="75">
        <v>7999</v>
      </c>
      <c r="W29" s="73">
        <f t="shared" ref="W29:W36" si="42">I29+P29+Q29+S29+V29+R29+U29</f>
        <v>900476.55429289339</v>
      </c>
      <c r="X29" s="84">
        <f t="shared" ref="X29:X36" si="43">O29+P29+Q29+T29+V29+R29+U29</f>
        <v>965717.45720385702</v>
      </c>
      <c r="Y29" s="32">
        <f t="shared" ref="Y29:Y36" si="44">D29*95/100</f>
        <v>707274.75300000003</v>
      </c>
      <c r="Z29" s="32">
        <f t="shared" ref="Z29:Z36" si="45">Y29*0.65/100</f>
        <v>4597.2858945000007</v>
      </c>
      <c r="AA29" s="32">
        <f t="shared" ref="AA29:AA36" si="46">Z29*18/100</f>
        <v>827.51146101000018</v>
      </c>
      <c r="AB29" s="32">
        <f t="shared" ref="AB29:AB36" si="47">Z29+AA29</f>
        <v>5424.7973555100007</v>
      </c>
    </row>
    <row r="30" spans="1:45" ht="17.25" customHeight="1">
      <c r="A30" s="232"/>
      <c r="B30" s="235"/>
      <c r="C30" s="71" t="s">
        <v>27</v>
      </c>
      <c r="D30" s="72">
        <v>748499.74</v>
      </c>
      <c r="E30" s="106">
        <f t="shared" si="32"/>
        <v>33100.954641065393</v>
      </c>
      <c r="F30" s="72">
        <f t="shared" si="33"/>
        <v>85481.670828000002</v>
      </c>
      <c r="G30" s="72">
        <v>600</v>
      </c>
      <c r="H30" s="72">
        <v>3199</v>
      </c>
      <c r="I30" s="73">
        <f t="shared" si="34"/>
        <v>870881.36546906549</v>
      </c>
      <c r="J30" s="72">
        <f t="shared" si="35"/>
        <v>748499.74</v>
      </c>
      <c r="K30" s="106">
        <f t="shared" si="36"/>
        <v>29994.36813122917</v>
      </c>
      <c r="L30" s="75">
        <f t="shared" si="37"/>
        <v>154193.94696</v>
      </c>
      <c r="M30" s="75">
        <v>600</v>
      </c>
      <c r="N30" s="72">
        <v>3199</v>
      </c>
      <c r="O30" s="73">
        <f t="shared" si="38"/>
        <v>936487.05509122915</v>
      </c>
      <c r="P30" s="75">
        <v>7458</v>
      </c>
      <c r="Q30" s="75">
        <v>4834</v>
      </c>
      <c r="R30" s="75">
        <v>7000</v>
      </c>
      <c r="S30" s="75">
        <f t="shared" si="39"/>
        <v>5453.9433555100004</v>
      </c>
      <c r="T30" s="75">
        <f t="shared" si="40"/>
        <v>5453.9433555100004</v>
      </c>
      <c r="U30" s="75">
        <f t="shared" si="41"/>
        <v>1426.4159545179998</v>
      </c>
      <c r="V30" s="75">
        <v>7999</v>
      </c>
      <c r="W30" s="73">
        <f t="shared" si="42"/>
        <v>905052.72477909352</v>
      </c>
      <c r="X30" s="84">
        <f t="shared" si="43"/>
        <v>970658.41440125718</v>
      </c>
      <c r="Y30" s="32">
        <f t="shared" si="44"/>
        <v>711074.75300000003</v>
      </c>
      <c r="Z30" s="32">
        <f t="shared" si="45"/>
        <v>4621.9858945000005</v>
      </c>
      <c r="AA30" s="32">
        <f t="shared" si="46"/>
        <v>831.95746101000009</v>
      </c>
      <c r="AB30" s="32">
        <f t="shared" si="47"/>
        <v>5453.9433555100004</v>
      </c>
    </row>
    <row r="31" spans="1:45" ht="17.25" customHeight="1">
      <c r="A31" s="232"/>
      <c r="B31" s="235" t="s">
        <v>48</v>
      </c>
      <c r="C31" s="71" t="s">
        <v>26</v>
      </c>
      <c r="D31" s="72">
        <v>788999.74</v>
      </c>
      <c r="E31" s="106">
        <f t="shared" si="32"/>
        <v>34018.296713840391</v>
      </c>
      <c r="F31" s="72">
        <f t="shared" si="33"/>
        <v>90025.770828000008</v>
      </c>
      <c r="G31" s="72">
        <v>600</v>
      </c>
      <c r="H31" s="72">
        <v>3199</v>
      </c>
      <c r="I31" s="73">
        <f t="shared" si="34"/>
        <v>916842.80754184048</v>
      </c>
      <c r="J31" s="72">
        <f t="shared" si="35"/>
        <v>788999.74</v>
      </c>
      <c r="K31" s="106">
        <f t="shared" si="36"/>
        <v>30887.27565490417</v>
      </c>
      <c r="L31" s="75">
        <f t="shared" si="37"/>
        <v>162455.94696</v>
      </c>
      <c r="M31" s="75">
        <v>600</v>
      </c>
      <c r="N31" s="72">
        <v>3199</v>
      </c>
      <c r="O31" s="73">
        <f t="shared" si="38"/>
        <v>986141.96261490416</v>
      </c>
      <c r="P31" s="75">
        <v>7458</v>
      </c>
      <c r="Q31" s="75">
        <v>4834</v>
      </c>
      <c r="R31" s="75">
        <v>7000</v>
      </c>
      <c r="S31" s="75">
        <f t="shared" si="39"/>
        <v>5749.0466055100005</v>
      </c>
      <c r="T31" s="72">
        <f t="shared" si="40"/>
        <v>5749.0466055100005</v>
      </c>
      <c r="U31" s="75">
        <f t="shared" si="41"/>
        <v>1503.5968045179998</v>
      </c>
      <c r="V31" s="75">
        <v>7999</v>
      </c>
      <c r="W31" s="73">
        <f t="shared" si="42"/>
        <v>951386.45095186855</v>
      </c>
      <c r="X31" s="84">
        <f t="shared" si="43"/>
        <v>1020685.6060249322</v>
      </c>
      <c r="Y31" s="32">
        <f t="shared" si="44"/>
        <v>749549.75300000003</v>
      </c>
      <c r="Z31" s="32">
        <f t="shared" si="45"/>
        <v>4872.0733945000002</v>
      </c>
      <c r="AA31" s="32">
        <f t="shared" si="46"/>
        <v>876.97321101000011</v>
      </c>
      <c r="AB31" s="32">
        <f t="shared" si="47"/>
        <v>5749.0466055100005</v>
      </c>
    </row>
    <row r="32" spans="1:45" ht="17.25" customHeight="1">
      <c r="A32" s="232"/>
      <c r="B32" s="235"/>
      <c r="C32" s="71" t="s">
        <v>27</v>
      </c>
      <c r="D32" s="72">
        <v>792999.73</v>
      </c>
      <c r="E32" s="106">
        <f t="shared" si="32"/>
        <v>34108.898173536174</v>
      </c>
      <c r="F32" s="72">
        <f t="shared" si="33"/>
        <v>90474.56970599998</v>
      </c>
      <c r="G32" s="72">
        <v>600</v>
      </c>
      <c r="H32" s="72">
        <v>3199</v>
      </c>
      <c r="I32" s="73">
        <f t="shared" si="34"/>
        <v>921382.19787953608</v>
      </c>
      <c r="J32" s="72">
        <f t="shared" si="35"/>
        <v>792999.73</v>
      </c>
      <c r="K32" s="106">
        <f t="shared" si="36"/>
        <v>30975.463831833178</v>
      </c>
      <c r="L32" s="75">
        <f t="shared" si="37"/>
        <v>163271.94492000001</v>
      </c>
      <c r="M32" s="75">
        <v>600</v>
      </c>
      <c r="N32" s="72">
        <v>3199</v>
      </c>
      <c r="O32" s="73">
        <f t="shared" si="38"/>
        <v>991046.13875183323</v>
      </c>
      <c r="P32" s="75">
        <v>7458</v>
      </c>
      <c r="Q32" s="75">
        <v>4834</v>
      </c>
      <c r="R32" s="75">
        <v>7000</v>
      </c>
      <c r="S32" s="75">
        <f t="shared" si="39"/>
        <v>5778.192532645</v>
      </c>
      <c r="T32" s="72">
        <f t="shared" si="40"/>
        <v>5778.192532645</v>
      </c>
      <c r="U32" s="75">
        <f t="shared" si="41"/>
        <v>1511.219585461</v>
      </c>
      <c r="V32" s="75">
        <v>7999</v>
      </c>
      <c r="W32" s="73">
        <f t="shared" si="42"/>
        <v>955962.60999764199</v>
      </c>
      <c r="X32" s="84">
        <f t="shared" si="43"/>
        <v>1025626.5508699392</v>
      </c>
      <c r="Y32" s="32">
        <f t="shared" si="44"/>
        <v>753349.74349999998</v>
      </c>
      <c r="Z32" s="32">
        <f t="shared" si="45"/>
        <v>4896.77333275</v>
      </c>
      <c r="AA32" s="32">
        <f t="shared" si="46"/>
        <v>881.41919989500002</v>
      </c>
      <c r="AB32" s="32">
        <f t="shared" si="47"/>
        <v>5778.192532645</v>
      </c>
    </row>
    <row r="33" spans="1:28" ht="17.25" customHeight="1">
      <c r="A33" s="232"/>
      <c r="B33" s="235" t="s">
        <v>50</v>
      </c>
      <c r="C33" s="71" t="s">
        <v>26</v>
      </c>
      <c r="D33" s="72">
        <v>865499.7</v>
      </c>
      <c r="E33" s="106">
        <f t="shared" si="32"/>
        <v>35751.053056398523</v>
      </c>
      <c r="F33" s="72">
        <f t="shared" si="33"/>
        <v>98609.06633999999</v>
      </c>
      <c r="G33" s="72">
        <v>600</v>
      </c>
      <c r="H33" s="72">
        <v>3199</v>
      </c>
      <c r="I33" s="73">
        <f t="shared" si="34"/>
        <v>1003658.8193963985</v>
      </c>
      <c r="J33" s="77">
        <f>D33</f>
        <v>865499.7</v>
      </c>
      <c r="K33" s="106">
        <f t="shared" si="36"/>
        <v>32573.877873295187</v>
      </c>
      <c r="L33" s="75">
        <f t="shared" si="37"/>
        <v>178061.9388</v>
      </c>
      <c r="M33" s="75">
        <v>600</v>
      </c>
      <c r="N33" s="72">
        <v>3199</v>
      </c>
      <c r="O33" s="73">
        <f t="shared" si="38"/>
        <v>1079934.5166732953</v>
      </c>
      <c r="P33" s="75">
        <v>7458</v>
      </c>
      <c r="Q33" s="75">
        <v>4834</v>
      </c>
      <c r="R33" s="75">
        <v>7000</v>
      </c>
      <c r="S33" s="76">
        <f>AB33</f>
        <v>6306.4635640500001</v>
      </c>
      <c r="T33" s="76">
        <f>AB33</f>
        <v>6306.4635640500001</v>
      </c>
      <c r="U33" s="75">
        <f t="shared" si="41"/>
        <v>1649.3827782899998</v>
      </c>
      <c r="V33" s="75">
        <v>7999</v>
      </c>
      <c r="W33" s="73">
        <f t="shared" si="42"/>
        <v>1038905.6657387385</v>
      </c>
      <c r="X33" s="84">
        <f t="shared" si="43"/>
        <v>1115181.3630156352</v>
      </c>
      <c r="Y33" s="32">
        <f>D33*95/100</f>
        <v>822224.71499999997</v>
      </c>
      <c r="Z33" s="32">
        <f>Y33*0.65/100</f>
        <v>5344.4606475000001</v>
      </c>
      <c r="AA33" s="32">
        <f>Z33*18/100</f>
        <v>962.00291655000012</v>
      </c>
      <c r="AB33" s="32">
        <f>Z33+AA33</f>
        <v>6306.4635640500001</v>
      </c>
    </row>
    <row r="34" spans="1:28" ht="17.25" customHeight="1">
      <c r="A34" s="232"/>
      <c r="B34" s="235"/>
      <c r="C34" s="71" t="s">
        <v>27</v>
      </c>
      <c r="D34" s="72">
        <v>869499.7</v>
      </c>
      <c r="E34" s="106">
        <f t="shared" si="32"/>
        <v>35841.654742598526</v>
      </c>
      <c r="F34" s="72">
        <f t="shared" si="33"/>
        <v>99057.866339999993</v>
      </c>
      <c r="G34" s="72">
        <v>600</v>
      </c>
      <c r="H34" s="72">
        <v>3199</v>
      </c>
      <c r="I34" s="73">
        <f t="shared" si="34"/>
        <v>1008198.2210825984</v>
      </c>
      <c r="J34" s="77">
        <f>D34</f>
        <v>869499.7</v>
      </c>
      <c r="K34" s="106">
        <f t="shared" si="36"/>
        <v>32662.066270695199</v>
      </c>
      <c r="L34" s="75">
        <f t="shared" si="37"/>
        <v>178877.9388</v>
      </c>
      <c r="M34" s="75">
        <v>600</v>
      </c>
      <c r="N34" s="72">
        <v>3199</v>
      </c>
      <c r="O34" s="73">
        <f t="shared" si="38"/>
        <v>1084838.7050706951</v>
      </c>
      <c r="P34" s="77">
        <v>7458</v>
      </c>
      <c r="Q34" s="77">
        <v>4834</v>
      </c>
      <c r="R34" s="77">
        <v>7000</v>
      </c>
      <c r="S34" s="76">
        <f>AB34</f>
        <v>6335.6095640499998</v>
      </c>
      <c r="T34" s="76">
        <f>AB34</f>
        <v>6335.6095640499998</v>
      </c>
      <c r="U34" s="75">
        <f t="shared" si="41"/>
        <v>1657.0055782899999</v>
      </c>
      <c r="V34" s="77">
        <v>7999</v>
      </c>
      <c r="W34" s="73">
        <f t="shared" si="42"/>
        <v>1043481.8362249384</v>
      </c>
      <c r="X34" s="84">
        <f t="shared" si="43"/>
        <v>1120122.3202130352</v>
      </c>
      <c r="Y34" s="32">
        <f>D34*95/100</f>
        <v>826024.71499999997</v>
      </c>
      <c r="Z34" s="32">
        <f>Y34*0.65/100</f>
        <v>5369.1606474999999</v>
      </c>
      <c r="AA34" s="32">
        <f>Z34*18/100</f>
        <v>966.44891655000004</v>
      </c>
      <c r="AB34" s="32">
        <f>Z34+AA34</f>
        <v>6335.6095640499998</v>
      </c>
    </row>
    <row r="35" spans="1:28" ht="17.25" customHeight="1">
      <c r="A35" s="232"/>
      <c r="B35" s="237" t="s">
        <v>156</v>
      </c>
      <c r="C35" s="71" t="s">
        <v>26</v>
      </c>
      <c r="D35" s="72">
        <v>908999.69</v>
      </c>
      <c r="E35" s="106">
        <f t="shared" si="32"/>
        <v>36736.346167319316</v>
      </c>
      <c r="F35" s="72">
        <f t="shared" si="33"/>
        <v>103489.765218</v>
      </c>
      <c r="G35" s="72">
        <v>600</v>
      </c>
      <c r="H35" s="72">
        <v>3199</v>
      </c>
      <c r="I35" s="73">
        <f t="shared" si="34"/>
        <v>1053024.8013853193</v>
      </c>
      <c r="J35" s="77">
        <f t="shared" si="35"/>
        <v>908999.69</v>
      </c>
      <c r="K35" s="106">
        <f t="shared" si="36"/>
        <v>33532.926474549196</v>
      </c>
      <c r="L35" s="75">
        <f t="shared" si="37"/>
        <v>186935.93675999995</v>
      </c>
      <c r="M35" s="75">
        <v>600</v>
      </c>
      <c r="N35" s="72">
        <v>3199</v>
      </c>
      <c r="O35" s="73">
        <f t="shared" si="38"/>
        <v>1133267.5532345492</v>
      </c>
      <c r="P35" s="75">
        <v>7458</v>
      </c>
      <c r="Q35" s="75">
        <v>4834</v>
      </c>
      <c r="R35" s="75">
        <v>7000</v>
      </c>
      <c r="S35" s="76">
        <f t="shared" si="39"/>
        <v>6623.4262411849995</v>
      </c>
      <c r="T35" s="76">
        <f t="shared" si="40"/>
        <v>6623.4262411849995</v>
      </c>
      <c r="U35" s="75">
        <f t="shared" si="41"/>
        <v>1732.2807092329999</v>
      </c>
      <c r="V35" s="75">
        <v>7999</v>
      </c>
      <c r="W35" s="73">
        <f t="shared" si="42"/>
        <v>1088671.5083357373</v>
      </c>
      <c r="X35" s="84">
        <f t="shared" si="43"/>
        <v>1168914.2601849672</v>
      </c>
      <c r="Y35" s="32">
        <f t="shared" si="44"/>
        <v>863549.70549999992</v>
      </c>
      <c r="Z35" s="32">
        <f t="shared" si="45"/>
        <v>5613.0730857499993</v>
      </c>
      <c r="AA35" s="32">
        <f t="shared" si="46"/>
        <v>1010.353155435</v>
      </c>
      <c r="AB35" s="32">
        <f t="shared" si="47"/>
        <v>6623.4262411849995</v>
      </c>
    </row>
    <row r="36" spans="1:28" ht="17.25" customHeight="1" thickBot="1">
      <c r="A36" s="233"/>
      <c r="B36" s="238"/>
      <c r="C36" s="85" t="s">
        <v>27</v>
      </c>
      <c r="D36" s="87">
        <v>912999.7</v>
      </c>
      <c r="E36" s="106">
        <f t="shared" si="32"/>
        <v>36826.948080023532</v>
      </c>
      <c r="F36" s="86">
        <f t="shared" si="33"/>
        <v>103938.56633999999</v>
      </c>
      <c r="G36" s="86">
        <v>600</v>
      </c>
      <c r="H36" s="86">
        <v>3199</v>
      </c>
      <c r="I36" s="88">
        <f t="shared" si="34"/>
        <v>1057564.2144200234</v>
      </c>
      <c r="J36" s="90">
        <f t="shared" si="35"/>
        <v>912999.7</v>
      </c>
      <c r="K36" s="107">
        <f t="shared" si="36"/>
        <v>33621.115092420194</v>
      </c>
      <c r="L36" s="89">
        <f t="shared" si="37"/>
        <v>187751.9388</v>
      </c>
      <c r="M36" s="89">
        <v>600</v>
      </c>
      <c r="N36" s="86">
        <v>3199</v>
      </c>
      <c r="O36" s="88">
        <f t="shared" si="38"/>
        <v>1138171.7538924203</v>
      </c>
      <c r="P36" s="90">
        <v>7458</v>
      </c>
      <c r="Q36" s="90">
        <v>4834</v>
      </c>
      <c r="R36" s="90">
        <v>7000</v>
      </c>
      <c r="S36" s="87">
        <f t="shared" si="39"/>
        <v>6652.5723140500004</v>
      </c>
      <c r="T36" s="87">
        <f t="shared" si="40"/>
        <v>6652.5723140500004</v>
      </c>
      <c r="U36" s="89">
        <f t="shared" si="41"/>
        <v>1739.9035282899999</v>
      </c>
      <c r="V36" s="90">
        <v>7999</v>
      </c>
      <c r="W36" s="88">
        <f t="shared" si="42"/>
        <v>1093247.6902623635</v>
      </c>
      <c r="X36" s="101">
        <f t="shared" si="43"/>
        <v>1173855.2297347605</v>
      </c>
      <c r="Y36" s="32">
        <f t="shared" si="44"/>
        <v>867349.71499999997</v>
      </c>
      <c r="Z36" s="32">
        <f t="shared" si="45"/>
        <v>5637.7731475000001</v>
      </c>
      <c r="AA36" s="32">
        <f t="shared" si="46"/>
        <v>1014.7991665500001</v>
      </c>
      <c r="AB36" s="32">
        <f t="shared" si="47"/>
        <v>6652.5723140500004</v>
      </c>
    </row>
    <row r="37" spans="1:28" ht="17.25" customHeight="1">
      <c r="E37" s="108"/>
      <c r="K37" s="108"/>
    </row>
    <row r="38" spans="1:28" ht="17.25" customHeight="1">
      <c r="A38" s="228" t="s">
        <v>51</v>
      </c>
      <c r="B38" s="235" t="s">
        <v>45</v>
      </c>
      <c r="C38" s="71" t="s">
        <v>26</v>
      </c>
      <c r="D38" s="72">
        <v>815499.71</v>
      </c>
      <c r="E38" s="106">
        <f t="shared" si="32"/>
        <v>34618.532205402749</v>
      </c>
      <c r="F38" s="72">
        <f t="shared" ref="F38:F43" si="48">(D38*13/100)+(D38*13/100)*2/100+1500</f>
        <v>109635.26154599999</v>
      </c>
      <c r="G38" s="72">
        <v>600</v>
      </c>
      <c r="H38" s="72">
        <v>3199</v>
      </c>
      <c r="I38" s="73">
        <f t="shared" ref="I38:I43" si="49">D38+E38+F38+H38+G38</f>
        <v>963552.50375140272</v>
      </c>
      <c r="J38" s="72">
        <f t="shared" ref="J38:J43" si="50">D38</f>
        <v>815499.71</v>
      </c>
      <c r="K38" s="106">
        <f t="shared" ref="K38:K43" si="51">((J38*95%*3.191%)-((J38*95%*3.191%)*40%)+11184)+((J38*95%*3.191%)-((J38*95%*3.191%)*40%)+11184)*18%+(J38*95%*0.1%+250)+(J38*95%*0.1%+250)*18%-IF((((J38*95%*3.191%)-((J38*95%*3.191%)*40%))*2.5%)&gt;500,500,(((J38*95%*3.191%)-((J38*95%*3.191%)*40%))*2.5%))-IF((((J38*95%*3.191%)-((J38*95%*3.191%)*40%))*2.5%)&gt;500,500,(((J38*95%*3.191%)-((J38*95%*3.191%)*40%))*2.5%))*18%</f>
        <v>31471.523126266187</v>
      </c>
      <c r="L38" s="75">
        <f t="shared" ref="L38:L43" si="52">(J38*20/100)+(J38*20/100)*2/100+1500</f>
        <v>167861.94083999997</v>
      </c>
      <c r="M38" s="75">
        <v>600</v>
      </c>
      <c r="N38" s="72">
        <v>3199</v>
      </c>
      <c r="O38" s="73">
        <f t="shared" ref="O38:O43" si="53">J38+K38+L38+N38+M38</f>
        <v>1018632.1739662661</v>
      </c>
      <c r="P38" s="75">
        <v>8804</v>
      </c>
      <c r="Q38" s="75">
        <v>4834</v>
      </c>
      <c r="R38" s="75">
        <v>7000</v>
      </c>
      <c r="S38" s="75">
        <f t="shared" ref="S38:S43" si="54">AB38</f>
        <v>5942.1386369150005</v>
      </c>
      <c r="T38" s="75">
        <f t="shared" ref="T38:T43" si="55">AB38</f>
        <v>5942.1386369150005</v>
      </c>
      <c r="U38" s="75">
        <f t="shared" si="41"/>
        <v>1554.0977973469999</v>
      </c>
      <c r="V38" s="75">
        <v>7999</v>
      </c>
      <c r="W38" s="73">
        <f t="shared" ref="W38:W43" si="56">I38+P38+Q38+S38+V38+R38+U38</f>
        <v>999685.74018566473</v>
      </c>
      <c r="X38" s="84">
        <f t="shared" ref="X38:X43" si="57">O38+P38+Q38+T38+V38+R38+U38</f>
        <v>1054765.4104005282</v>
      </c>
      <c r="Y38" s="32">
        <f t="shared" ref="Y38:Y43" si="58">D38*95/100</f>
        <v>774724.72450000001</v>
      </c>
      <c r="Z38" s="32">
        <f t="shared" ref="Z38:Z43" si="59">Y38*0.65/100</f>
        <v>5035.71070925</v>
      </c>
      <c r="AA38" s="32">
        <f t="shared" ref="AA38:AA43" si="60">Z38*18/100</f>
        <v>906.42792766499997</v>
      </c>
      <c r="AB38" s="32">
        <f t="shared" ref="AB38:AB43" si="61">Z38+AA38</f>
        <v>5942.1386369150005</v>
      </c>
    </row>
    <row r="39" spans="1:28" ht="17.25" customHeight="1">
      <c r="A39" s="229"/>
      <c r="B39" s="235"/>
      <c r="C39" s="71" t="s">
        <v>27</v>
      </c>
      <c r="D39" s="72">
        <v>819499.71</v>
      </c>
      <c r="E39" s="106">
        <f t="shared" si="32"/>
        <v>34709.133891602738</v>
      </c>
      <c r="F39" s="72">
        <f t="shared" si="48"/>
        <v>110165.661546</v>
      </c>
      <c r="G39" s="72">
        <v>600</v>
      </c>
      <c r="H39" s="72">
        <v>3199</v>
      </c>
      <c r="I39" s="73">
        <f t="shared" si="49"/>
        <v>968173.50543760275</v>
      </c>
      <c r="J39" s="72">
        <f t="shared" si="50"/>
        <v>819499.71</v>
      </c>
      <c r="K39" s="106">
        <f t="shared" si="51"/>
        <v>31559.711523666185</v>
      </c>
      <c r="L39" s="75">
        <f t="shared" si="52"/>
        <v>168677.94083999997</v>
      </c>
      <c r="M39" s="75">
        <v>600</v>
      </c>
      <c r="N39" s="72">
        <v>3199</v>
      </c>
      <c r="O39" s="73">
        <f t="shared" si="53"/>
        <v>1023536.3623636661</v>
      </c>
      <c r="P39" s="75">
        <v>8804</v>
      </c>
      <c r="Q39" s="75">
        <v>4834</v>
      </c>
      <c r="R39" s="75">
        <v>7000</v>
      </c>
      <c r="S39" s="75">
        <f t="shared" si="54"/>
        <v>5971.2846369149993</v>
      </c>
      <c r="T39" s="75">
        <f t="shared" si="55"/>
        <v>5971.2846369149993</v>
      </c>
      <c r="U39" s="75">
        <f t="shared" si="41"/>
        <v>1561.7205973469997</v>
      </c>
      <c r="V39" s="75">
        <v>7999</v>
      </c>
      <c r="W39" s="73">
        <f t="shared" si="56"/>
        <v>1004343.5106718647</v>
      </c>
      <c r="X39" s="84">
        <f t="shared" si="57"/>
        <v>1059706.367597928</v>
      </c>
      <c r="Y39" s="32">
        <f t="shared" si="58"/>
        <v>778524.72450000001</v>
      </c>
      <c r="Z39" s="32">
        <f t="shared" si="59"/>
        <v>5060.4107092499999</v>
      </c>
      <c r="AA39" s="32">
        <f t="shared" si="60"/>
        <v>910.87392766499988</v>
      </c>
      <c r="AB39" s="32">
        <f t="shared" si="61"/>
        <v>5971.2846369149993</v>
      </c>
    </row>
    <row r="40" spans="1:28" ht="17.25" customHeight="1">
      <c r="A40" s="229"/>
      <c r="B40" s="235" t="s">
        <v>47</v>
      </c>
      <c r="C40" s="71" t="s">
        <v>26</v>
      </c>
      <c r="D40" s="72">
        <v>896499.71</v>
      </c>
      <c r="E40" s="106">
        <f t="shared" si="32"/>
        <v>36453.216350952745</v>
      </c>
      <c r="F40" s="72">
        <f t="shared" si="48"/>
        <v>120375.861546</v>
      </c>
      <c r="G40" s="72">
        <v>600</v>
      </c>
      <c r="H40" s="72">
        <v>3199</v>
      </c>
      <c r="I40" s="73">
        <f t="shared" si="49"/>
        <v>1057127.7878969526</v>
      </c>
      <c r="J40" s="72">
        <f t="shared" si="50"/>
        <v>896499.71</v>
      </c>
      <c r="K40" s="106">
        <f t="shared" si="51"/>
        <v>33257.338173616183</v>
      </c>
      <c r="L40" s="75">
        <f t="shared" si="52"/>
        <v>184385.94083999997</v>
      </c>
      <c r="M40" s="75">
        <v>600</v>
      </c>
      <c r="N40" s="72">
        <v>3199</v>
      </c>
      <c r="O40" s="73">
        <f t="shared" si="53"/>
        <v>1117941.9890136162</v>
      </c>
      <c r="P40" s="75">
        <v>8804</v>
      </c>
      <c r="Q40" s="75">
        <v>4834</v>
      </c>
      <c r="R40" s="75">
        <v>7000</v>
      </c>
      <c r="S40" s="75">
        <f t="shared" si="54"/>
        <v>6532.3451369150007</v>
      </c>
      <c r="T40" s="75">
        <f t="shared" si="55"/>
        <v>6532.3451369150007</v>
      </c>
      <c r="U40" s="75">
        <f t="shared" si="41"/>
        <v>1708.4594973469998</v>
      </c>
      <c r="V40" s="75">
        <v>7999</v>
      </c>
      <c r="W40" s="73">
        <f t="shared" si="56"/>
        <v>1094005.5925312147</v>
      </c>
      <c r="X40" s="84">
        <f t="shared" si="57"/>
        <v>1154819.7936478783</v>
      </c>
      <c r="Y40" s="32">
        <f t="shared" si="58"/>
        <v>851674.72450000001</v>
      </c>
      <c r="Z40" s="32">
        <f t="shared" si="59"/>
        <v>5535.8857092500002</v>
      </c>
      <c r="AA40" s="32">
        <f t="shared" si="60"/>
        <v>996.45942766500002</v>
      </c>
      <c r="AB40" s="32">
        <f t="shared" si="61"/>
        <v>6532.3451369150007</v>
      </c>
    </row>
    <row r="41" spans="1:28" ht="17.25" customHeight="1">
      <c r="A41" s="229"/>
      <c r="B41" s="235"/>
      <c r="C41" s="71" t="s">
        <v>27</v>
      </c>
      <c r="D41" s="72">
        <v>900499.67</v>
      </c>
      <c r="E41" s="106">
        <f t="shared" si="32"/>
        <v>36543.817131135889</v>
      </c>
      <c r="F41" s="72">
        <f t="shared" si="48"/>
        <v>120906.25624200002</v>
      </c>
      <c r="G41" s="72">
        <v>600</v>
      </c>
      <c r="H41" s="72">
        <v>3199</v>
      </c>
      <c r="I41" s="73">
        <f t="shared" si="49"/>
        <v>1061748.7433731358</v>
      </c>
      <c r="J41" s="72">
        <f t="shared" si="50"/>
        <v>900499.67</v>
      </c>
      <c r="K41" s="106">
        <f t="shared" si="51"/>
        <v>33345.525689132221</v>
      </c>
      <c r="L41" s="75">
        <f t="shared" si="52"/>
        <v>185201.93268</v>
      </c>
      <c r="M41" s="75">
        <v>600</v>
      </c>
      <c r="N41" s="72">
        <v>3199</v>
      </c>
      <c r="O41" s="73">
        <f t="shared" si="53"/>
        <v>1122846.1283691323</v>
      </c>
      <c r="P41" s="75">
        <v>8804</v>
      </c>
      <c r="Q41" s="75">
        <v>4834</v>
      </c>
      <c r="R41" s="75">
        <v>7000</v>
      </c>
      <c r="S41" s="75">
        <f t="shared" si="54"/>
        <v>6561.4908454550014</v>
      </c>
      <c r="T41" s="75">
        <f t="shared" si="55"/>
        <v>6561.4908454550014</v>
      </c>
      <c r="U41" s="75">
        <f t="shared" si="41"/>
        <v>1716.0822211189998</v>
      </c>
      <c r="V41" s="75">
        <v>7999</v>
      </c>
      <c r="W41" s="73">
        <f t="shared" si="56"/>
        <v>1098663.3164397099</v>
      </c>
      <c r="X41" s="84">
        <f t="shared" si="57"/>
        <v>1159760.7014357063</v>
      </c>
      <c r="Y41" s="32">
        <f t="shared" si="58"/>
        <v>855474.68650000007</v>
      </c>
      <c r="Z41" s="32">
        <f t="shared" si="59"/>
        <v>5560.585462250001</v>
      </c>
      <c r="AA41" s="32">
        <f t="shared" si="60"/>
        <v>1000.9053832050002</v>
      </c>
      <c r="AB41" s="32">
        <f t="shared" si="61"/>
        <v>6561.4908454550014</v>
      </c>
    </row>
    <row r="42" spans="1:28" ht="17.25" customHeight="1">
      <c r="A42" s="229"/>
      <c r="B42" s="235" t="s">
        <v>48</v>
      </c>
      <c r="C42" s="71" t="s">
        <v>26</v>
      </c>
      <c r="D42" s="72">
        <v>940499.68</v>
      </c>
      <c r="E42" s="106">
        <f t="shared" si="32"/>
        <v>37449.834219640106</v>
      </c>
      <c r="F42" s="72">
        <f t="shared" si="48"/>
        <v>126210.257568</v>
      </c>
      <c r="G42" s="72">
        <v>600</v>
      </c>
      <c r="H42" s="72">
        <v>3199</v>
      </c>
      <c r="I42" s="73">
        <f t="shared" si="49"/>
        <v>1107958.7717876402</v>
      </c>
      <c r="J42" s="72">
        <f t="shared" si="50"/>
        <v>940499.68</v>
      </c>
      <c r="K42" s="106">
        <f t="shared" si="51"/>
        <v>34227.409883603214</v>
      </c>
      <c r="L42" s="72">
        <f t="shared" si="52"/>
        <v>193361.93472000002</v>
      </c>
      <c r="M42" s="75">
        <v>600</v>
      </c>
      <c r="N42" s="72">
        <v>3199</v>
      </c>
      <c r="O42" s="73">
        <f t="shared" si="53"/>
        <v>1171888.0246036034</v>
      </c>
      <c r="P42" s="75">
        <v>8804</v>
      </c>
      <c r="Q42" s="75">
        <v>4834</v>
      </c>
      <c r="R42" s="75">
        <v>7000</v>
      </c>
      <c r="S42" s="75">
        <f t="shared" si="54"/>
        <v>6852.9509183199998</v>
      </c>
      <c r="T42" s="72">
        <f t="shared" si="55"/>
        <v>6852.9509183199998</v>
      </c>
      <c r="U42" s="75">
        <f t="shared" si="41"/>
        <v>1792.310240176</v>
      </c>
      <c r="V42" s="75">
        <v>7999</v>
      </c>
      <c r="W42" s="73">
        <f t="shared" si="56"/>
        <v>1145241.0329461363</v>
      </c>
      <c r="X42" s="84">
        <f t="shared" si="57"/>
        <v>1209170.2857620995</v>
      </c>
      <c r="Y42" s="32">
        <f t="shared" si="58"/>
        <v>893474.69600000011</v>
      </c>
      <c r="Z42" s="32">
        <f t="shared" si="59"/>
        <v>5807.5855240000001</v>
      </c>
      <c r="AA42" s="32">
        <f t="shared" si="60"/>
        <v>1045.36539432</v>
      </c>
      <c r="AB42" s="32">
        <f t="shared" si="61"/>
        <v>6852.9509183199998</v>
      </c>
    </row>
    <row r="43" spans="1:28" ht="17.25" customHeight="1" thickBot="1">
      <c r="A43" s="230"/>
      <c r="B43" s="236"/>
      <c r="C43" s="85" t="s">
        <v>27</v>
      </c>
      <c r="D43" s="86">
        <v>944499.69</v>
      </c>
      <c r="E43" s="106">
        <f t="shared" si="32"/>
        <v>37540.436132344315</v>
      </c>
      <c r="F43" s="86">
        <f t="shared" si="48"/>
        <v>126740.65889399999</v>
      </c>
      <c r="G43" s="86">
        <v>600</v>
      </c>
      <c r="H43" s="86">
        <v>3199</v>
      </c>
      <c r="I43" s="88">
        <f t="shared" si="49"/>
        <v>1112579.7850263442</v>
      </c>
      <c r="J43" s="86">
        <f t="shared" si="50"/>
        <v>944499.69</v>
      </c>
      <c r="K43" s="107">
        <f t="shared" si="51"/>
        <v>34315.598501474196</v>
      </c>
      <c r="L43" s="86">
        <f t="shared" si="52"/>
        <v>194177.93675999995</v>
      </c>
      <c r="M43" s="89">
        <v>600</v>
      </c>
      <c r="N43" s="86">
        <v>3199</v>
      </c>
      <c r="O43" s="88">
        <f t="shared" si="53"/>
        <v>1176792.225261474</v>
      </c>
      <c r="P43" s="89">
        <v>8804</v>
      </c>
      <c r="Q43" s="89">
        <v>4834</v>
      </c>
      <c r="R43" s="89">
        <v>7000</v>
      </c>
      <c r="S43" s="89">
        <f t="shared" si="54"/>
        <v>6882.0969911849988</v>
      </c>
      <c r="T43" s="86">
        <f t="shared" si="55"/>
        <v>6882.0969911849988</v>
      </c>
      <c r="U43" s="89">
        <f t="shared" si="41"/>
        <v>1799.933059233</v>
      </c>
      <c r="V43" s="86">
        <v>7999</v>
      </c>
      <c r="W43" s="88">
        <f t="shared" si="56"/>
        <v>1149898.8150767623</v>
      </c>
      <c r="X43" s="101">
        <f t="shared" si="57"/>
        <v>1214111.2553118921</v>
      </c>
      <c r="Y43" s="32">
        <f t="shared" si="58"/>
        <v>897274.70549999992</v>
      </c>
      <c r="Z43" s="32">
        <f t="shared" si="59"/>
        <v>5832.285585749999</v>
      </c>
      <c r="AA43" s="32">
        <f t="shared" si="60"/>
        <v>1049.8114054349999</v>
      </c>
      <c r="AB43" s="32">
        <f t="shared" si="61"/>
        <v>6882.0969911849988</v>
      </c>
    </row>
    <row r="45" spans="1:28" s="44" customFormat="1" ht="18.75">
      <c r="A45" s="63" t="s">
        <v>131</v>
      </c>
      <c r="B45" s="53"/>
      <c r="C45" s="52"/>
      <c r="D45" s="60"/>
      <c r="E45" s="54"/>
      <c r="F45" s="54"/>
      <c r="G45" s="54"/>
      <c r="H45" s="54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55"/>
      <c r="T45" s="55"/>
      <c r="U45" s="55"/>
    </row>
    <row r="46" spans="1:28" s="44" customFormat="1" ht="18.75">
      <c r="A46" s="63"/>
      <c r="B46" s="53"/>
      <c r="C46" s="52"/>
      <c r="D46" s="60"/>
      <c r="E46" s="54"/>
      <c r="F46" s="54"/>
      <c r="G46" s="54"/>
      <c r="H46" s="54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55"/>
      <c r="T46" s="55"/>
      <c r="U46" s="55"/>
    </row>
    <row r="47" spans="1:28" s="44" customFormat="1">
      <c r="A47" s="56" t="s">
        <v>52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7"/>
      <c r="T47" s="49"/>
      <c r="U47" s="49"/>
    </row>
    <row r="48" spans="1:28" s="44" customFormat="1">
      <c r="A48" s="61" t="s">
        <v>55</v>
      </c>
      <c r="B48" s="49"/>
      <c r="C48" s="47" t="s">
        <v>56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57"/>
      <c r="T48" s="49"/>
      <c r="U48" s="49"/>
    </row>
    <row r="49" spans="1:26" s="44" customFormat="1">
      <c r="A49" s="61" t="s">
        <v>59</v>
      </c>
      <c r="B49" s="49"/>
      <c r="C49" s="47" t="s">
        <v>60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7"/>
      <c r="T49" s="49"/>
      <c r="U49" s="49"/>
    </row>
    <row r="50" spans="1:26" s="44" customFormat="1">
      <c r="A50" s="58" t="s">
        <v>35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7"/>
      <c r="T50" s="49"/>
      <c r="U50" s="49"/>
    </row>
    <row r="51" spans="1:26" s="44" customFormat="1">
      <c r="A51" s="48" t="s">
        <v>36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123"/>
      <c r="W51" s="124"/>
      <c r="X51" s="124"/>
      <c r="Y51" s="51"/>
      <c r="Z51" s="51"/>
    </row>
    <row r="52" spans="1:26" s="44" customFormat="1">
      <c r="A52" s="52" t="s">
        <v>61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124"/>
      <c r="Y52" s="51"/>
      <c r="Z52" s="51"/>
    </row>
    <row r="53" spans="1:26" s="44" customFormat="1">
      <c r="A53" s="52" t="s">
        <v>38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124"/>
      <c r="Y53" s="51"/>
      <c r="Z53" s="51"/>
    </row>
    <row r="54" spans="1:26" s="44" customFormat="1">
      <c r="A54" s="125" t="s">
        <v>127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124"/>
      <c r="Y54" s="51"/>
      <c r="Z54" s="51"/>
    </row>
    <row r="55" spans="1:26" s="44" customFormat="1">
      <c r="A55" s="125" t="s">
        <v>164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124"/>
      <c r="Y55" s="51"/>
      <c r="Z55" s="51"/>
    </row>
    <row r="56" spans="1:26" s="44" customFormat="1">
      <c r="A56" s="125" t="s">
        <v>159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124"/>
      <c r="Y56" s="51"/>
      <c r="Z56" s="51"/>
    </row>
    <row r="57" spans="1:26" s="44" customFormat="1">
      <c r="A57" s="48" t="s">
        <v>160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124"/>
      <c r="Y57" s="51"/>
      <c r="Z57" s="51"/>
    </row>
    <row r="58" spans="1:26" s="44" customFormat="1">
      <c r="A58" s="48" t="s">
        <v>161</v>
      </c>
      <c r="B58" s="52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:26" s="44" customFormat="1" ht="43.5" customHeight="1">
      <c r="A59" s="234" t="s">
        <v>162</v>
      </c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122"/>
      <c r="Z59" s="122"/>
    </row>
    <row r="60" spans="1:26" s="44" customFormat="1">
      <c r="A60" s="48" t="s">
        <v>163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</row>
    <row r="61" spans="1:26" s="44" customFormat="1">
      <c r="A61" s="48" t="s">
        <v>172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</row>
    <row r="62" spans="1:26" s="44" customFormat="1"/>
    <row r="63" spans="1:26" s="44" customFormat="1"/>
    <row r="64" spans="1:26" s="44" customFormat="1"/>
    <row r="65" s="44" customFormat="1"/>
    <row r="66" s="44" customFormat="1"/>
  </sheetData>
  <sheetProtection selectLockedCells="1" selectUnlockedCells="1"/>
  <mergeCells count="39">
    <mergeCell ref="A6:X6"/>
    <mergeCell ref="A1:X1"/>
    <mergeCell ref="A2:X2"/>
    <mergeCell ref="A3:X3"/>
    <mergeCell ref="A4:X4"/>
    <mergeCell ref="A5:X5"/>
    <mergeCell ref="B10:B11"/>
    <mergeCell ref="B12:B13"/>
    <mergeCell ref="B14:B15"/>
    <mergeCell ref="B16:B17"/>
    <mergeCell ref="A7:X7"/>
    <mergeCell ref="A8:A9"/>
    <mergeCell ref="B8:C9"/>
    <mergeCell ref="D8:I8"/>
    <mergeCell ref="J8:O8"/>
    <mergeCell ref="P8:V8"/>
    <mergeCell ref="W8:X8"/>
    <mergeCell ref="J27:O27"/>
    <mergeCell ref="P27:V27"/>
    <mergeCell ref="W27:X27"/>
    <mergeCell ref="B19:B20"/>
    <mergeCell ref="B21:B22"/>
    <mergeCell ref="B23:B24"/>
    <mergeCell ref="A19:A24"/>
    <mergeCell ref="A10:A17"/>
    <mergeCell ref="A59:X59"/>
    <mergeCell ref="A38:A43"/>
    <mergeCell ref="B38:B39"/>
    <mergeCell ref="B40:B41"/>
    <mergeCell ref="B42:B43"/>
    <mergeCell ref="A29:A36"/>
    <mergeCell ref="B29:B30"/>
    <mergeCell ref="B31:B32"/>
    <mergeCell ref="B33:B34"/>
    <mergeCell ref="B35:B36"/>
    <mergeCell ref="A26:X26"/>
    <mergeCell ref="A27:A28"/>
    <mergeCell ref="B27:C28"/>
    <mergeCell ref="D27:I27"/>
  </mergeCells>
  <pageMargins left="0.2638888888888889" right="0.32291666666666669" top="0.40486111111111112" bottom="0.26250000000000001" header="0.51180555555555551" footer="0.51180555555555551"/>
  <pageSetup scale="47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zoomScale="85" zoomScaleNormal="85" workbookViewId="0">
      <selection sqref="A1:W1"/>
    </sheetView>
  </sheetViews>
  <sheetFormatPr defaultColWidth="11.7109375" defaultRowHeight="15"/>
  <cols>
    <col min="1" max="1" width="4.140625" style="31" customWidth="1"/>
    <col min="2" max="2" width="8.28515625" style="31" customWidth="1"/>
    <col min="3" max="3" width="8.85546875" style="31" customWidth="1"/>
    <col min="4" max="23" width="10" style="31" customWidth="1"/>
    <col min="24" max="31" width="11.7109375" style="31" hidden="1" customWidth="1"/>
    <col min="32" max="34" width="11.7109375" style="31" customWidth="1"/>
    <col min="35" max="16384" width="11.7109375" style="31"/>
  </cols>
  <sheetData>
    <row r="1" spans="1:31" ht="46.5">
      <c r="A1" s="210" t="s">
        <v>104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</row>
    <row r="2" spans="1:31" ht="28.5">
      <c r="A2" s="213" t="s">
        <v>114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5"/>
    </row>
    <row r="3" spans="1:31" ht="28.5">
      <c r="A3" s="213" t="s">
        <v>105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5"/>
    </row>
    <row r="4" spans="1:31" ht="28.5">
      <c r="A4" s="213" t="s">
        <v>106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5"/>
    </row>
    <row r="5" spans="1:31" ht="20.25" customHeight="1">
      <c r="A5" s="216" t="s">
        <v>109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8"/>
    </row>
    <row r="6" spans="1:31" ht="19.5" customHeight="1" thickBot="1">
      <c r="A6" s="198" t="s">
        <v>191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200"/>
    </row>
    <row r="7" spans="1:31" ht="15.75" customHeight="1" thickBot="1">
      <c r="A7" s="242" t="s">
        <v>103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4"/>
    </row>
    <row r="8" spans="1:31" ht="31.5" customHeight="1" thickBot="1">
      <c r="A8" s="190" t="s">
        <v>4</v>
      </c>
      <c r="B8" s="191" t="s">
        <v>5</v>
      </c>
      <c r="C8" s="191"/>
      <c r="D8" s="246" t="s">
        <v>6</v>
      </c>
      <c r="E8" s="246"/>
      <c r="F8" s="246"/>
      <c r="G8" s="246"/>
      <c r="H8" s="246"/>
      <c r="I8" s="246"/>
      <c r="J8" s="246"/>
      <c r="K8" s="194" t="s">
        <v>7</v>
      </c>
      <c r="L8" s="194"/>
      <c r="M8" s="194"/>
      <c r="N8" s="194"/>
      <c r="O8" s="194"/>
      <c r="P8" s="194"/>
      <c r="Q8" s="194"/>
      <c r="R8" s="195" t="s">
        <v>8</v>
      </c>
      <c r="S8" s="195"/>
      <c r="T8" s="195"/>
      <c r="U8" s="195"/>
      <c r="V8" s="196" t="s">
        <v>9</v>
      </c>
      <c r="W8" s="197"/>
    </row>
    <row r="9" spans="1:31" ht="79.5" thickBot="1">
      <c r="A9" s="245"/>
      <c r="B9" s="192"/>
      <c r="C9" s="192"/>
      <c r="D9" s="3" t="s">
        <v>10</v>
      </c>
      <c r="E9" s="3" t="s">
        <v>62</v>
      </c>
      <c r="F9" s="3" t="s">
        <v>11</v>
      </c>
      <c r="G9" s="4" t="s">
        <v>12</v>
      </c>
      <c r="H9" s="4" t="s">
        <v>133</v>
      </c>
      <c r="I9" s="4" t="s">
        <v>13</v>
      </c>
      <c r="J9" s="4" t="s">
        <v>14</v>
      </c>
      <c r="K9" s="3" t="s">
        <v>10</v>
      </c>
      <c r="L9" s="3" t="s">
        <v>62</v>
      </c>
      <c r="M9" s="3" t="s">
        <v>15</v>
      </c>
      <c r="N9" s="4" t="s">
        <v>12</v>
      </c>
      <c r="O9" s="4" t="s">
        <v>133</v>
      </c>
      <c r="P9" s="4" t="s">
        <v>13</v>
      </c>
      <c r="Q9" s="4" t="s">
        <v>14</v>
      </c>
      <c r="R9" s="5" t="s">
        <v>63</v>
      </c>
      <c r="S9" s="13" t="s">
        <v>17</v>
      </c>
      <c r="T9" s="5" t="s">
        <v>180</v>
      </c>
      <c r="U9" s="5" t="s">
        <v>139</v>
      </c>
      <c r="V9" s="5" t="s">
        <v>22</v>
      </c>
      <c r="W9" s="21" t="s">
        <v>23</v>
      </c>
    </row>
    <row r="10" spans="1:31" ht="27.75" customHeight="1">
      <c r="A10" s="239" t="s">
        <v>64</v>
      </c>
      <c r="B10" s="184" t="s">
        <v>45</v>
      </c>
      <c r="C10" s="135" t="s">
        <v>26</v>
      </c>
      <c r="D10" s="131">
        <v>792049.73</v>
      </c>
      <c r="E10" s="174">
        <v>0</v>
      </c>
      <c r="F10" s="105">
        <f t="shared" ref="F10:F15" si="0">((D10*95%*3.283%)-((D10*95%*3.283%)*40%)+13434)+((D10*95%*3.283%)-((D10*95%*3.283%)*40%)+13434)*18%+(D10*95%*0.1%+250)+(D10*95%*0.1%+250)*18%-IF((((D10*95%*3.283%)-((D10*95%*3.283%)*40%))*2.5%)&gt;500,500,(((D10*95%*3.283%)-((D10*95%*3.283%)*40%))*2.5%))-IF((((D10*95%*3.283%)-((D10*95%*3.283%)*40%))*2.5%)&gt;500,500,(((D10*95%*3.283%)-((D10*95%*3.283%)*40%))*2.5%))*18%</f>
        <v>34087.380273063674</v>
      </c>
      <c r="G10" s="79">
        <f>(D10*11/100)+(D10*11/100)*2/100+1500</f>
        <v>90367.979705999984</v>
      </c>
      <c r="H10" s="79">
        <v>600</v>
      </c>
      <c r="I10" s="152">
        <v>4499</v>
      </c>
      <c r="J10" s="177">
        <f t="shared" ref="J10:J15" si="1">D10+F10+G10+I10+H10</f>
        <v>921604.0899790636</v>
      </c>
      <c r="K10" s="79">
        <f>D10</f>
        <v>792049.73</v>
      </c>
      <c r="L10" s="174">
        <v>0</v>
      </c>
      <c r="M10" s="102">
        <f t="shared" ref="M10:M15" si="2">((K10*95%*3.283%)-((K10*95%*3.283%)*40%)+11184)+((K10*95%*3.283%)-((K10*95%*3.283%)*40%)+11184)*18%+(K10*95%*0.1%+250)+(K10*95%*0.1%+250)*18%-IF((((K10*95%*3.283%)-((K10*95%*3.283%)*40%))*2.5%)&gt;500,500,(((K10*95%*3.283%)-((K10*95%*3.283%)*40%))*2.5%))-IF((((K10*95%*3.283%)-((K10*95%*3.283%)*40%))*2.5%)&gt;500,500,(((K10*95%*3.283%)-((K10*95%*3.283%)*40%))*2.5%))*18%</f>
        <v>31432.380273063682</v>
      </c>
      <c r="N10" s="79">
        <f>(K10*20/100)+(K10*20/100)*2/100+1500</f>
        <v>163078.14491999999</v>
      </c>
      <c r="O10" s="79">
        <v>600</v>
      </c>
      <c r="P10" s="152">
        <v>4499</v>
      </c>
      <c r="Q10" s="177">
        <f t="shared" ref="Q10:Q15" si="3">K10+M10+N10+P10+O10</f>
        <v>991659.25519306364</v>
      </c>
      <c r="R10" s="82">
        <v>11634</v>
      </c>
      <c r="S10" s="82">
        <v>4834</v>
      </c>
      <c r="T10" s="82">
        <f>AA10</f>
        <v>5771.2703576450003</v>
      </c>
      <c r="U10" s="82">
        <f>((D10*95%)*0.17%)*1.18</f>
        <v>1509.409170461</v>
      </c>
      <c r="V10" s="80">
        <f>J10+R10+S10+T10+U10</f>
        <v>945352.76950716961</v>
      </c>
      <c r="W10" s="83">
        <f>Q10+R10+S10+T10+U10</f>
        <v>1015407.9347211696</v>
      </c>
      <c r="X10" s="32">
        <f>D10*95/100</f>
        <v>752447.24349999998</v>
      </c>
      <c r="Y10" s="32">
        <f t="shared" ref="Y10:Y15" si="4">X10*0.65/100</f>
        <v>4890.90708275</v>
      </c>
      <c r="Z10" s="32">
        <f t="shared" ref="Z10:Z15" si="5">Y10*18/100</f>
        <v>880.3632748949999</v>
      </c>
      <c r="AA10" s="32">
        <f t="shared" ref="AA10:AA15" si="6">Y10+Z10</f>
        <v>5771.2703576450003</v>
      </c>
      <c r="AB10" s="31">
        <v>941953</v>
      </c>
      <c r="AC10" s="32">
        <v>1014011</v>
      </c>
      <c r="AD10" s="32">
        <f>+AB10-V10</f>
        <v>-3399.7695071696071</v>
      </c>
      <c r="AE10" s="32">
        <f>+AC10-W10</f>
        <v>-1396.934721169644</v>
      </c>
    </row>
    <row r="11" spans="1:31" ht="27.75" customHeight="1">
      <c r="A11" s="240"/>
      <c r="B11" s="185"/>
      <c r="C11" s="136" t="s">
        <v>27</v>
      </c>
      <c r="D11" s="132">
        <v>796049.71</v>
      </c>
      <c r="E11" s="175">
        <v>0</v>
      </c>
      <c r="F11" s="106">
        <f t="shared" si="0"/>
        <v>34177.981506255244</v>
      </c>
      <c r="G11" s="72">
        <f>(D11*11/100)+(D11*11/100)*2/100+1500</f>
        <v>90816.777461999984</v>
      </c>
      <c r="H11" s="72">
        <v>600</v>
      </c>
      <c r="I11" s="153">
        <v>4499</v>
      </c>
      <c r="J11" s="178">
        <f t="shared" si="1"/>
        <v>926143.46896825521</v>
      </c>
      <c r="K11" s="72">
        <f>D11</f>
        <v>796049.71</v>
      </c>
      <c r="L11" s="175">
        <v>0</v>
      </c>
      <c r="M11" s="103">
        <f t="shared" si="2"/>
        <v>31522.981506255241</v>
      </c>
      <c r="N11" s="72">
        <f>(K11*20/100)+(K11*20/100)*2/100+1500</f>
        <v>163894.14083999998</v>
      </c>
      <c r="O11" s="72">
        <v>600</v>
      </c>
      <c r="P11" s="153">
        <v>4499</v>
      </c>
      <c r="Q11" s="178">
        <f t="shared" si="3"/>
        <v>996565.83234625519</v>
      </c>
      <c r="R11" s="75">
        <v>11634</v>
      </c>
      <c r="S11" s="75">
        <v>4834</v>
      </c>
      <c r="T11" s="75">
        <f>AA11</f>
        <v>5800.4162119149996</v>
      </c>
      <c r="U11" s="75">
        <f>((D11*95%)*0.17%)*1.18</f>
        <v>1517.0319323469998</v>
      </c>
      <c r="V11" s="73">
        <f>J11+R11+S11+T11+U11</f>
        <v>949928.91711251717</v>
      </c>
      <c r="W11" s="84">
        <f>Q11+R11+S11+T11+U11</f>
        <v>1020351.2804905172</v>
      </c>
      <c r="X11" s="32">
        <f>D11*95/100</f>
        <v>756247.22450000001</v>
      </c>
      <c r="Y11" s="32">
        <f t="shared" si="4"/>
        <v>4915.6069592499998</v>
      </c>
      <c r="Z11" s="32">
        <f t="shared" si="5"/>
        <v>884.80925266499992</v>
      </c>
      <c r="AA11" s="32">
        <f t="shared" si="6"/>
        <v>5800.4162119149996</v>
      </c>
      <c r="AB11" s="31">
        <v>946530</v>
      </c>
      <c r="AC11" s="31">
        <v>1018955</v>
      </c>
      <c r="AD11" s="32">
        <f t="shared" ref="AD11:AD22" si="7">+AB11-V11</f>
        <v>-3398.9171125171706</v>
      </c>
      <c r="AE11" s="32">
        <f t="shared" ref="AE11:AE22" si="8">+AC11-W11</f>
        <v>-1396.2804905171506</v>
      </c>
    </row>
    <row r="12" spans="1:31" ht="27.75" customHeight="1">
      <c r="A12" s="240"/>
      <c r="B12" s="185" t="s">
        <v>166</v>
      </c>
      <c r="C12" s="136" t="s">
        <v>26</v>
      </c>
      <c r="D12" s="132">
        <v>816049.72</v>
      </c>
      <c r="E12" s="175">
        <v>0</v>
      </c>
      <c r="F12" s="106">
        <f t="shared" si="0"/>
        <v>34630.990163759459</v>
      </c>
      <c r="G12" s="72">
        <f t="shared" ref="G12:G13" si="9">(D12*11/100)+(D12*11/100)*2/100+1500</f>
        <v>93060.778583999985</v>
      </c>
      <c r="H12" s="72">
        <v>600</v>
      </c>
      <c r="I12" s="153">
        <v>4499</v>
      </c>
      <c r="J12" s="178">
        <f t="shared" si="1"/>
        <v>948840.48874775937</v>
      </c>
      <c r="K12" s="72">
        <f t="shared" ref="K12:K13" si="10">D12</f>
        <v>816049.72</v>
      </c>
      <c r="L12" s="175">
        <v>0</v>
      </c>
      <c r="M12" s="103">
        <f t="shared" si="2"/>
        <v>31975.990163759456</v>
      </c>
      <c r="N12" s="72">
        <f t="shared" ref="N12:N13" si="11">(K12*20/100)+(K12*20/100)*2/100+1500</f>
        <v>167974.14288</v>
      </c>
      <c r="O12" s="72">
        <v>600</v>
      </c>
      <c r="P12" s="153">
        <v>4499</v>
      </c>
      <c r="Q12" s="178">
        <f t="shared" si="3"/>
        <v>1021098.8530437595</v>
      </c>
      <c r="R12" s="75">
        <v>11634</v>
      </c>
      <c r="S12" s="75">
        <v>4834</v>
      </c>
      <c r="T12" s="75">
        <f>AA12</f>
        <v>5946.1462847799994</v>
      </c>
      <c r="U12" s="75">
        <f>((D12*95%)*0.17%)*1.18</f>
        <v>1555.145951404</v>
      </c>
      <c r="V12" s="73">
        <f t="shared" ref="V12:V15" si="12">J12+R12+S12+T12+U12</f>
        <v>972809.78098394338</v>
      </c>
      <c r="W12" s="84">
        <f t="shared" ref="W12:W15" si="13">Q12+R12+S12+T12+U12</f>
        <v>1045068.1452799435</v>
      </c>
      <c r="X12" s="32">
        <f t="shared" ref="X12:X13" si="14">D12*95/100</f>
        <v>775247.23399999994</v>
      </c>
      <c r="Y12" s="32">
        <f t="shared" si="4"/>
        <v>5039.1070209999998</v>
      </c>
      <c r="Z12" s="32">
        <f t="shared" si="5"/>
        <v>907.03926378000006</v>
      </c>
      <c r="AA12" s="32">
        <f t="shared" si="6"/>
        <v>5946.1462847799994</v>
      </c>
      <c r="AD12" s="32"/>
      <c r="AE12" s="32"/>
    </row>
    <row r="13" spans="1:31" ht="27.75" customHeight="1">
      <c r="A13" s="240"/>
      <c r="B13" s="185"/>
      <c r="C13" s="136" t="s">
        <v>27</v>
      </c>
      <c r="D13" s="132">
        <v>820049.68</v>
      </c>
      <c r="E13" s="175">
        <v>0</v>
      </c>
      <c r="F13" s="106">
        <f t="shared" si="0"/>
        <v>34721.590943942596</v>
      </c>
      <c r="G13" s="72">
        <f t="shared" si="9"/>
        <v>93509.574095999997</v>
      </c>
      <c r="H13" s="72">
        <v>600</v>
      </c>
      <c r="I13" s="153">
        <v>4499</v>
      </c>
      <c r="J13" s="178">
        <f t="shared" si="1"/>
        <v>953379.84503994253</v>
      </c>
      <c r="K13" s="72">
        <f t="shared" si="10"/>
        <v>820049.68</v>
      </c>
      <c r="L13" s="175">
        <v>0</v>
      </c>
      <c r="M13" s="103">
        <f t="shared" si="2"/>
        <v>32066.5909439426</v>
      </c>
      <c r="N13" s="72">
        <f t="shared" si="11"/>
        <v>168790.13472000003</v>
      </c>
      <c r="O13" s="72">
        <v>600</v>
      </c>
      <c r="P13" s="153">
        <v>4499</v>
      </c>
      <c r="Q13" s="178">
        <f t="shared" si="3"/>
        <v>1026005.4056639427</v>
      </c>
      <c r="R13" s="75">
        <v>11634</v>
      </c>
      <c r="S13" s="75">
        <v>4834</v>
      </c>
      <c r="T13" s="75">
        <f t="shared" ref="T13" si="15">AA13</f>
        <v>5975.291993320001</v>
      </c>
      <c r="U13" s="75">
        <f t="shared" ref="U13" si="16">((D13*95%)*0.17%)*1.18</f>
        <v>1562.768675176</v>
      </c>
      <c r="V13" s="73">
        <f t="shared" si="12"/>
        <v>977385.90570843848</v>
      </c>
      <c r="W13" s="84">
        <f t="shared" si="13"/>
        <v>1050011.4663324386</v>
      </c>
      <c r="X13" s="32">
        <f t="shared" si="14"/>
        <v>779047.19600000011</v>
      </c>
      <c r="Y13" s="32">
        <f t="shared" si="4"/>
        <v>5063.8067740000006</v>
      </c>
      <c r="Z13" s="32">
        <f t="shared" si="5"/>
        <v>911.48521932000006</v>
      </c>
      <c r="AA13" s="32">
        <f t="shared" si="6"/>
        <v>5975.291993320001</v>
      </c>
      <c r="AD13" s="32"/>
      <c r="AE13" s="32"/>
    </row>
    <row r="14" spans="1:31" ht="27.75" customHeight="1">
      <c r="A14" s="240"/>
      <c r="B14" s="185" t="s">
        <v>48</v>
      </c>
      <c r="C14" s="136" t="s">
        <v>26</v>
      </c>
      <c r="D14" s="172">
        <v>925049.68</v>
      </c>
      <c r="E14" s="175">
        <v>0</v>
      </c>
      <c r="F14" s="106">
        <f t="shared" si="0"/>
        <v>37099.885206692597</v>
      </c>
      <c r="G14" s="72">
        <f>(D14*11/100)+(D14*11/100)*2/100+1500</f>
        <v>105290.574096</v>
      </c>
      <c r="H14" s="72">
        <v>600</v>
      </c>
      <c r="I14" s="153">
        <v>4499</v>
      </c>
      <c r="J14" s="178">
        <f t="shared" si="1"/>
        <v>1072539.1393026926</v>
      </c>
      <c r="K14" s="76">
        <f>D14</f>
        <v>925049.68</v>
      </c>
      <c r="L14" s="175">
        <v>0</v>
      </c>
      <c r="M14" s="103">
        <f t="shared" si="2"/>
        <v>34444.885206692597</v>
      </c>
      <c r="N14" s="72">
        <f>(K14*20/100)+(K14*20/100)*2/100+1500</f>
        <v>190210.13472000003</v>
      </c>
      <c r="O14" s="72">
        <v>600</v>
      </c>
      <c r="P14" s="153">
        <v>4499</v>
      </c>
      <c r="Q14" s="178">
        <f t="shared" si="3"/>
        <v>1154803.6999266928</v>
      </c>
      <c r="R14" s="75">
        <v>11634</v>
      </c>
      <c r="S14" s="75">
        <v>4834</v>
      </c>
      <c r="T14" s="76">
        <f>AA14</f>
        <v>6740.3744933200005</v>
      </c>
      <c r="U14" s="75">
        <f>((D14*95%)*0.17%)*1.18</f>
        <v>1762.867175176</v>
      </c>
      <c r="V14" s="73">
        <f t="shared" si="12"/>
        <v>1097510.3809711887</v>
      </c>
      <c r="W14" s="84">
        <f t="shared" si="13"/>
        <v>1179774.9415951888</v>
      </c>
      <c r="X14" s="32">
        <f>D14*95/100</f>
        <v>878797.19600000011</v>
      </c>
      <c r="Y14" s="32">
        <f t="shared" si="4"/>
        <v>5712.1817740000006</v>
      </c>
      <c r="Z14" s="32">
        <f t="shared" si="5"/>
        <v>1028.1927193199999</v>
      </c>
      <c r="AA14" s="32">
        <f t="shared" si="6"/>
        <v>6740.3744933200005</v>
      </c>
      <c r="AB14" s="31">
        <v>1081955</v>
      </c>
      <c r="AC14" s="31">
        <v>1165247</v>
      </c>
      <c r="AD14" s="32">
        <f t="shared" si="7"/>
        <v>-15555.380971188657</v>
      </c>
      <c r="AE14" s="32">
        <f t="shared" si="8"/>
        <v>-14527.941595188808</v>
      </c>
    </row>
    <row r="15" spans="1:31" ht="27.75" customHeight="1" thickBot="1">
      <c r="A15" s="241"/>
      <c r="B15" s="186"/>
      <c r="C15" s="151" t="s">
        <v>27</v>
      </c>
      <c r="D15" s="173">
        <v>929049.68</v>
      </c>
      <c r="E15" s="176">
        <v>0</v>
      </c>
      <c r="F15" s="107">
        <f t="shared" si="0"/>
        <v>37190.486892892601</v>
      </c>
      <c r="G15" s="86">
        <f>(D15*11/100)+(D15*11/100)*2/100+1500</f>
        <v>105739.374096</v>
      </c>
      <c r="H15" s="86">
        <v>600</v>
      </c>
      <c r="I15" s="154">
        <v>4499</v>
      </c>
      <c r="J15" s="179">
        <f t="shared" si="1"/>
        <v>1077078.5409888928</v>
      </c>
      <c r="K15" s="87">
        <f>D15</f>
        <v>929049.68</v>
      </c>
      <c r="L15" s="176">
        <v>0</v>
      </c>
      <c r="M15" s="104">
        <f t="shared" si="2"/>
        <v>34535.486892892601</v>
      </c>
      <c r="N15" s="86">
        <f>(K15*20/100)+(K15*20/100)*2/100+1500</f>
        <v>191026.13472000003</v>
      </c>
      <c r="O15" s="86">
        <v>600</v>
      </c>
      <c r="P15" s="154">
        <v>4499</v>
      </c>
      <c r="Q15" s="179">
        <f t="shared" si="3"/>
        <v>1159710.3016128927</v>
      </c>
      <c r="R15" s="90">
        <v>11634</v>
      </c>
      <c r="S15" s="90">
        <v>4834</v>
      </c>
      <c r="T15" s="87">
        <f>AA15</f>
        <v>6769.5204933200002</v>
      </c>
      <c r="U15" s="89">
        <f>((D15*95%)*0.17%)*1.18</f>
        <v>1770.4899751759999</v>
      </c>
      <c r="V15" s="88">
        <f t="shared" si="12"/>
        <v>1102086.5514573888</v>
      </c>
      <c r="W15" s="101">
        <f t="shared" si="13"/>
        <v>1184718.3120813887</v>
      </c>
      <c r="X15" s="32">
        <f>D15*95/100</f>
        <v>882597.19600000011</v>
      </c>
      <c r="Y15" s="32">
        <f t="shared" si="4"/>
        <v>5736.8817740000004</v>
      </c>
      <c r="Z15" s="32">
        <f t="shared" si="5"/>
        <v>1032.6387193200001</v>
      </c>
      <c r="AA15" s="32">
        <f t="shared" si="6"/>
        <v>6769.5204933200002</v>
      </c>
      <c r="AB15" s="31">
        <v>1086531</v>
      </c>
      <c r="AC15" s="31">
        <v>1170190</v>
      </c>
      <c r="AD15" s="32">
        <f t="shared" si="7"/>
        <v>-15555.551457388792</v>
      </c>
      <c r="AE15" s="32">
        <f t="shared" si="8"/>
        <v>-14528.312081388664</v>
      </c>
    </row>
    <row r="16" spans="1:31" ht="15.75" thickBot="1">
      <c r="A16" s="34"/>
      <c r="B16" s="35"/>
      <c r="C16" s="35"/>
      <c r="D16" s="35"/>
      <c r="E16" s="111"/>
      <c r="F16" s="109"/>
      <c r="G16" s="35"/>
      <c r="H16" s="35"/>
      <c r="I16" s="35"/>
      <c r="J16" s="35"/>
      <c r="K16" s="35"/>
      <c r="L16" s="111"/>
      <c r="M16" s="109"/>
      <c r="N16" s="35"/>
      <c r="O16" s="35"/>
      <c r="P16" s="35"/>
      <c r="Q16" s="35"/>
      <c r="R16" s="35"/>
      <c r="S16" s="35"/>
      <c r="T16" s="35"/>
      <c r="U16" s="35"/>
      <c r="V16" s="35"/>
      <c r="W16" s="36"/>
    </row>
    <row r="17" spans="1:31" ht="29.1" customHeight="1">
      <c r="A17" s="219" t="s">
        <v>65</v>
      </c>
      <c r="B17" s="184" t="s">
        <v>45</v>
      </c>
      <c r="C17" s="135" t="s">
        <v>26</v>
      </c>
      <c r="D17" s="131">
        <v>901549.69</v>
      </c>
      <c r="E17" s="82">
        <v>0</v>
      </c>
      <c r="F17" s="105">
        <f t="shared" ref="F17:F22" si="17">((D17*95%*3.283%)-((D17*95%*3.283%)*40%)+13434)+((D17*95%*3.283%)-((D17*95%*3.283%)*40%)+13434)*18%+(D17*95%*0.1%+250)+(D17*95%*0.1%+250)*18%-IF((((D17*95%*3.283%)-((D17*95%*3.283%)*40%))*2.5%)&gt;500,500,(((D17*95%*3.283%)-((D17*95%*3.283%)*40%))*2.5%))-IF((((D17*95%*3.283%)-((D17*95%*3.283%)*40%))*2.5%)&gt;500,500,(((D17*95%*3.283%)-((D17*95%*3.283%)*40%))*2.5%))*18%</f>
        <v>36567.600526771828</v>
      </c>
      <c r="G17" s="79">
        <f>(D17*13/100)+(D17*13/100)*2/100+1500</f>
        <v>121045.48889399999</v>
      </c>
      <c r="H17" s="79">
        <v>600</v>
      </c>
      <c r="I17" s="152">
        <v>4499</v>
      </c>
      <c r="J17" s="177">
        <f t="shared" ref="J17:J22" si="18">D17+F17+G17+I17+H17</f>
        <v>1064261.7794207719</v>
      </c>
      <c r="K17" s="131">
        <f>D17</f>
        <v>901549.69</v>
      </c>
      <c r="L17" s="82">
        <v>0</v>
      </c>
      <c r="M17" s="102">
        <f t="shared" ref="M17:M22" si="19">((K17*95%*3.283%)-((K17*95%*3.283%)*40%)+11184)+((K17*95%*3.283%)-((K17*95%*3.283%)*40%)+11184)*18%+(K17*95%*0.1%+250)+(K17*95%*0.1%+250)*18%-IF((((K17*95%*3.283%)-((K17*95%*3.283%)*40%))*2.5%)&gt;500,500,(((K17*95%*3.283%)-((K17*95%*3.283%)*40%))*2.5%))-IF((((K17*95%*3.283%)-((K17*95%*3.283%)*40%))*2.5%)&gt;500,500,(((K17*95%*3.283%)-((K17*95%*3.283%)*40%))*2.5%))*18%</f>
        <v>33912.600526771828</v>
      </c>
      <c r="N17" s="79">
        <f>(K17*20/100)+(K17*20/100)*2/100+1500</f>
        <v>185416.13675999996</v>
      </c>
      <c r="O17" s="79">
        <v>600</v>
      </c>
      <c r="P17" s="152">
        <v>4499</v>
      </c>
      <c r="Q17" s="177">
        <f t="shared" ref="Q17:Q22" si="20">K17+M17+N17+P17+O17</f>
        <v>1125977.4272867718</v>
      </c>
      <c r="R17" s="174">
        <v>15451</v>
      </c>
      <c r="S17" s="82">
        <v>4834</v>
      </c>
      <c r="T17" s="82">
        <f>AA17</f>
        <v>6569.1418161849997</v>
      </c>
      <c r="U17" s="82">
        <f>((D17*95%)*0.17%)*1.18</f>
        <v>1718.0832442329997</v>
      </c>
      <c r="V17" s="80">
        <f t="shared" ref="V17:V22" si="21">J17+R17+S17+T17+U17</f>
        <v>1092834.0044811899</v>
      </c>
      <c r="W17" s="83">
        <f t="shared" ref="W17:W22" si="22">Q17+R17+S17+T17+U17</f>
        <v>1154549.6523471898</v>
      </c>
      <c r="X17" s="32">
        <f>D17*95/100</f>
        <v>856472.20549999992</v>
      </c>
      <c r="Y17" s="32">
        <f t="shared" ref="Y17:Y22" si="23">X17*0.65/100</f>
        <v>5567.0693357499995</v>
      </c>
      <c r="Z17" s="32">
        <f t="shared" ref="Z17:Z22" si="24">Y17*18/100</f>
        <v>1002.0724804349999</v>
      </c>
      <c r="AA17" s="32">
        <f t="shared" ref="AA17:AA22" si="25">Y17+Z17</f>
        <v>6569.1418161849997</v>
      </c>
      <c r="AB17" s="31">
        <v>1082759</v>
      </c>
      <c r="AC17" s="31">
        <v>1146195</v>
      </c>
      <c r="AD17" s="32">
        <f t="shared" si="7"/>
        <v>-10075.004481189884</v>
      </c>
      <c r="AE17" s="32">
        <f t="shared" si="8"/>
        <v>-8354.6523471898399</v>
      </c>
    </row>
    <row r="18" spans="1:31" ht="29.1" customHeight="1">
      <c r="A18" s="220"/>
      <c r="B18" s="185"/>
      <c r="C18" s="136" t="s">
        <v>27</v>
      </c>
      <c r="D18" s="132">
        <v>905549.68</v>
      </c>
      <c r="E18" s="75">
        <v>0</v>
      </c>
      <c r="F18" s="106">
        <f t="shared" si="17"/>
        <v>36658.201986467597</v>
      </c>
      <c r="G18" s="72">
        <f>(D18*13/100)+(D18*13/100)*2/100+1500</f>
        <v>121575.88756800001</v>
      </c>
      <c r="H18" s="72">
        <v>600</v>
      </c>
      <c r="I18" s="153">
        <v>4499</v>
      </c>
      <c r="J18" s="178">
        <f t="shared" si="18"/>
        <v>1068882.7695544676</v>
      </c>
      <c r="K18" s="132">
        <f>D18</f>
        <v>905549.68</v>
      </c>
      <c r="L18" s="75">
        <v>0</v>
      </c>
      <c r="M18" s="103">
        <f t="shared" si="19"/>
        <v>34003.201986467597</v>
      </c>
      <c r="N18" s="75">
        <f>(K18*20/100)+(K18*20/100)*2/100+1500</f>
        <v>186232.13472000003</v>
      </c>
      <c r="O18" s="72">
        <v>600</v>
      </c>
      <c r="P18" s="153">
        <v>4499</v>
      </c>
      <c r="Q18" s="178">
        <f t="shared" si="20"/>
        <v>1130884.0167064676</v>
      </c>
      <c r="R18" s="175">
        <v>15451</v>
      </c>
      <c r="S18" s="75">
        <v>4834</v>
      </c>
      <c r="T18" s="75">
        <f>AA18</f>
        <v>6598.2877433200001</v>
      </c>
      <c r="U18" s="75">
        <f>((D18*95%)*0.17%)*1.18</f>
        <v>1725.7060251759999</v>
      </c>
      <c r="V18" s="73">
        <f t="shared" si="21"/>
        <v>1097491.7633229636</v>
      </c>
      <c r="W18" s="84">
        <f t="shared" si="22"/>
        <v>1159493.0104749636</v>
      </c>
      <c r="X18" s="32">
        <f>D18*95/100</f>
        <v>860272.19600000011</v>
      </c>
      <c r="Y18" s="32">
        <f t="shared" si="23"/>
        <v>5591.7692740000002</v>
      </c>
      <c r="Z18" s="32">
        <f t="shared" si="24"/>
        <v>1006.51846932</v>
      </c>
      <c r="AA18" s="32">
        <f t="shared" si="25"/>
        <v>6598.2877433200001</v>
      </c>
      <c r="AB18" s="31">
        <v>1087415</v>
      </c>
      <c r="AC18" s="31">
        <v>1151137</v>
      </c>
      <c r="AD18" s="32">
        <f t="shared" si="7"/>
        <v>-10076.763322963612</v>
      </c>
      <c r="AE18" s="32">
        <f t="shared" si="8"/>
        <v>-8356.0104749635793</v>
      </c>
    </row>
    <row r="19" spans="1:31" ht="29.1" customHeight="1">
      <c r="A19" s="220"/>
      <c r="B19" s="185" t="s">
        <v>166</v>
      </c>
      <c r="C19" s="136" t="s">
        <v>26</v>
      </c>
      <c r="D19" s="132">
        <v>924549.68</v>
      </c>
      <c r="E19" s="75">
        <v>0</v>
      </c>
      <c r="F19" s="106">
        <f t="shared" si="17"/>
        <v>37088.559995917596</v>
      </c>
      <c r="G19" s="72">
        <f t="shared" ref="G19:G20" si="26">(D19*13/100)+(D19*13/100)*2/100+1500</f>
        <v>124095.287568</v>
      </c>
      <c r="H19" s="72">
        <v>600</v>
      </c>
      <c r="I19" s="153">
        <v>4499</v>
      </c>
      <c r="J19" s="178">
        <f t="shared" si="18"/>
        <v>1090832.5275639177</v>
      </c>
      <c r="K19" s="132">
        <f t="shared" ref="K19:K20" si="27">D19</f>
        <v>924549.68</v>
      </c>
      <c r="L19" s="75">
        <v>0</v>
      </c>
      <c r="M19" s="103">
        <f t="shared" si="19"/>
        <v>34433.559995917596</v>
      </c>
      <c r="N19" s="72">
        <f t="shared" ref="N19:N20" si="28">(K19*20/100)+(K19*20/100)*2/100+1500</f>
        <v>190108.13472000003</v>
      </c>
      <c r="O19" s="72">
        <v>600</v>
      </c>
      <c r="P19" s="153">
        <v>4499</v>
      </c>
      <c r="Q19" s="178">
        <f t="shared" si="20"/>
        <v>1154190.3747159177</v>
      </c>
      <c r="R19" s="175">
        <v>15451</v>
      </c>
      <c r="S19" s="75">
        <v>4834</v>
      </c>
      <c r="T19" s="75">
        <f t="shared" ref="T19:T20" si="29">AA19</f>
        <v>6736.7312433200004</v>
      </c>
      <c r="U19" s="75">
        <f t="shared" ref="U19:U20" si="30">((D19*95%)*0.17%)*1.18</f>
        <v>1761.9143251760001</v>
      </c>
      <c r="V19" s="73">
        <f t="shared" si="21"/>
        <v>1119616.1731324138</v>
      </c>
      <c r="W19" s="84">
        <f t="shared" si="22"/>
        <v>1182974.0202844138</v>
      </c>
      <c r="X19" s="32">
        <f t="shared" ref="X19:X20" si="31">D19*95/100</f>
        <v>878322.19600000011</v>
      </c>
      <c r="Y19" s="32">
        <f t="shared" si="23"/>
        <v>5709.094274</v>
      </c>
      <c r="Z19" s="32">
        <f t="shared" si="24"/>
        <v>1027.6369693200002</v>
      </c>
      <c r="AA19" s="32">
        <f t="shared" si="25"/>
        <v>6736.7312433200004</v>
      </c>
      <c r="AD19" s="32"/>
      <c r="AE19" s="32"/>
    </row>
    <row r="20" spans="1:31" ht="29.1" customHeight="1">
      <c r="A20" s="220"/>
      <c r="B20" s="185"/>
      <c r="C20" s="136" t="s">
        <v>27</v>
      </c>
      <c r="D20" s="132">
        <v>928549.68</v>
      </c>
      <c r="E20" s="75">
        <v>0</v>
      </c>
      <c r="F20" s="106">
        <f t="shared" si="17"/>
        <v>37179.161682117599</v>
      </c>
      <c r="G20" s="72">
        <f t="shared" si="26"/>
        <v>124625.68756800001</v>
      </c>
      <c r="H20" s="72">
        <v>600</v>
      </c>
      <c r="I20" s="153">
        <v>4499</v>
      </c>
      <c r="J20" s="178">
        <f t="shared" si="18"/>
        <v>1095453.5292501177</v>
      </c>
      <c r="K20" s="132">
        <f t="shared" si="27"/>
        <v>928549.68</v>
      </c>
      <c r="L20" s="75">
        <v>0</v>
      </c>
      <c r="M20" s="103">
        <f t="shared" si="19"/>
        <v>34524.161682117599</v>
      </c>
      <c r="N20" s="75">
        <f t="shared" si="28"/>
        <v>190924.13472000003</v>
      </c>
      <c r="O20" s="72">
        <v>600</v>
      </c>
      <c r="P20" s="153">
        <v>4499</v>
      </c>
      <c r="Q20" s="178">
        <f t="shared" si="20"/>
        <v>1159096.9764021176</v>
      </c>
      <c r="R20" s="175">
        <v>15451</v>
      </c>
      <c r="S20" s="75">
        <v>4834</v>
      </c>
      <c r="T20" s="75">
        <f t="shared" si="29"/>
        <v>6765.8772433200011</v>
      </c>
      <c r="U20" s="75">
        <f t="shared" si="30"/>
        <v>1769.5371251760002</v>
      </c>
      <c r="V20" s="73">
        <f t="shared" si="21"/>
        <v>1124273.9436186138</v>
      </c>
      <c r="W20" s="84">
        <f t="shared" si="22"/>
        <v>1187917.3907706137</v>
      </c>
      <c r="X20" s="32">
        <f t="shared" si="31"/>
        <v>882122.19600000011</v>
      </c>
      <c r="Y20" s="32">
        <f t="shared" si="23"/>
        <v>5733.7942740000008</v>
      </c>
      <c r="Z20" s="32">
        <f t="shared" si="24"/>
        <v>1032.0829693200001</v>
      </c>
      <c r="AA20" s="32">
        <f t="shared" si="25"/>
        <v>6765.8772433200011</v>
      </c>
      <c r="AD20" s="32"/>
      <c r="AE20" s="32"/>
    </row>
    <row r="21" spans="1:31" ht="29.1" customHeight="1">
      <c r="A21" s="220"/>
      <c r="B21" s="185" t="s">
        <v>48</v>
      </c>
      <c r="C21" s="136" t="s">
        <v>26</v>
      </c>
      <c r="D21" s="132">
        <v>1030049.64</v>
      </c>
      <c r="E21" s="75">
        <f>D21*1%</f>
        <v>10300.4964</v>
      </c>
      <c r="F21" s="106">
        <f t="shared" si="17"/>
        <v>39478.178563425739</v>
      </c>
      <c r="G21" s="72">
        <f>(D21*14/100)+(D21*14/100)*2/100+1500</f>
        <v>148591.08859200001</v>
      </c>
      <c r="H21" s="72">
        <v>600</v>
      </c>
      <c r="I21" s="153">
        <v>4499</v>
      </c>
      <c r="J21" s="178">
        <f t="shared" si="18"/>
        <v>1223217.9071554258</v>
      </c>
      <c r="K21" s="132">
        <f>D21</f>
        <v>1030049.64</v>
      </c>
      <c r="L21" s="75">
        <f>K21*1%</f>
        <v>10300.4964</v>
      </c>
      <c r="M21" s="103">
        <f t="shared" si="19"/>
        <v>36823.178563425739</v>
      </c>
      <c r="N21" s="75">
        <f>(K21*20/100)+(K21*20/100)*2/100+1500</f>
        <v>211630.12656</v>
      </c>
      <c r="O21" s="72">
        <v>600</v>
      </c>
      <c r="P21" s="153">
        <v>4499</v>
      </c>
      <c r="Q21" s="178">
        <f t="shared" si="20"/>
        <v>1283601.9451234257</v>
      </c>
      <c r="R21" s="175">
        <v>15451</v>
      </c>
      <c r="S21" s="75">
        <v>4834</v>
      </c>
      <c r="T21" s="75">
        <f>AA21</f>
        <v>7505.4567018599992</v>
      </c>
      <c r="U21" s="75">
        <f>((D21*95%)*0.17%)*1.18</f>
        <v>1962.965598948</v>
      </c>
      <c r="V21" s="73">
        <f t="shared" si="21"/>
        <v>1252971.3294562339</v>
      </c>
      <c r="W21" s="84">
        <f t="shared" si="22"/>
        <v>1313355.3674242338</v>
      </c>
      <c r="X21" s="32">
        <f>D21*95/100</f>
        <v>978547.15799999994</v>
      </c>
      <c r="Y21" s="32">
        <f t="shared" si="23"/>
        <v>6360.5565269999997</v>
      </c>
      <c r="Z21" s="32">
        <f t="shared" si="24"/>
        <v>1144.9001748599999</v>
      </c>
      <c r="AA21" s="32">
        <f t="shared" si="25"/>
        <v>7505.4567018599992</v>
      </c>
      <c r="AB21" s="31">
        <v>1210652</v>
      </c>
      <c r="AC21" s="31">
        <v>1281930</v>
      </c>
      <c r="AD21" s="32">
        <f t="shared" si="7"/>
        <v>-42319.329456233885</v>
      </c>
      <c r="AE21" s="32">
        <f t="shared" si="8"/>
        <v>-31425.367424233817</v>
      </c>
    </row>
    <row r="22" spans="1:31" s="41" customFormat="1" ht="29.1" customHeight="1" thickBot="1">
      <c r="A22" s="221"/>
      <c r="B22" s="186"/>
      <c r="C22" s="138" t="s">
        <v>27</v>
      </c>
      <c r="D22" s="176">
        <v>1034049.64</v>
      </c>
      <c r="E22" s="89">
        <f>D22*1%</f>
        <v>10340.4964</v>
      </c>
      <c r="F22" s="107">
        <f t="shared" si="17"/>
        <v>39568.780249625728</v>
      </c>
      <c r="G22" s="89">
        <f>(D22*14/100)+(D22*14/100)*2/100+1500</f>
        <v>149162.28859200003</v>
      </c>
      <c r="H22" s="89">
        <v>600</v>
      </c>
      <c r="I22" s="180">
        <v>4499</v>
      </c>
      <c r="J22" s="179">
        <f t="shared" si="18"/>
        <v>1227879.7088416258</v>
      </c>
      <c r="K22" s="176">
        <f>D22</f>
        <v>1034049.64</v>
      </c>
      <c r="L22" s="89">
        <f>K22*1%</f>
        <v>10340.4964</v>
      </c>
      <c r="M22" s="104">
        <f t="shared" si="19"/>
        <v>36913.780249625728</v>
      </c>
      <c r="N22" s="89">
        <f>(K22*20/100)+(K22*20/100)*2/100+1500</f>
        <v>212446.12656</v>
      </c>
      <c r="O22" s="89">
        <v>600</v>
      </c>
      <c r="P22" s="180">
        <v>4499</v>
      </c>
      <c r="Q22" s="179">
        <f t="shared" si="20"/>
        <v>1288508.5468096258</v>
      </c>
      <c r="R22" s="176">
        <v>15451</v>
      </c>
      <c r="S22" s="89">
        <v>4834</v>
      </c>
      <c r="T22" s="89">
        <f>AA22</f>
        <v>7534.6027018599998</v>
      </c>
      <c r="U22" s="89">
        <f>((D22*95%)*0.17%)*1.18</f>
        <v>1970.5883989480001</v>
      </c>
      <c r="V22" s="88">
        <f t="shared" si="21"/>
        <v>1257669.8999424339</v>
      </c>
      <c r="W22" s="101">
        <f t="shared" si="22"/>
        <v>1318298.7379104339</v>
      </c>
      <c r="X22" s="40">
        <f>D22*95/100</f>
        <v>982347.15799999994</v>
      </c>
      <c r="Y22" s="40">
        <f t="shared" si="23"/>
        <v>6385.2565269999996</v>
      </c>
      <c r="Z22" s="40">
        <f t="shared" si="24"/>
        <v>1149.3461748599998</v>
      </c>
      <c r="AA22" s="40">
        <f t="shared" si="25"/>
        <v>7534.6027018599998</v>
      </c>
      <c r="AB22" s="41">
        <v>1210652</v>
      </c>
      <c r="AC22" s="41">
        <v>1281930</v>
      </c>
      <c r="AD22" s="40">
        <f t="shared" si="7"/>
        <v>-47017.899942433927</v>
      </c>
      <c r="AE22" s="40">
        <f t="shared" si="8"/>
        <v>-36368.737910433905</v>
      </c>
    </row>
    <row r="23" spans="1:31" s="44" customFormat="1">
      <c r="L23" s="110"/>
    </row>
    <row r="24" spans="1:31" s="44" customFormat="1" ht="18.75">
      <c r="A24" s="63" t="s">
        <v>131</v>
      </c>
      <c r="B24" s="53"/>
      <c r="C24" s="52"/>
      <c r="D24" s="60"/>
      <c r="E24" s="54"/>
      <c r="F24" s="54"/>
      <c r="G24" s="54"/>
      <c r="H24" s="54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55"/>
      <c r="U24" s="55"/>
    </row>
    <row r="25" spans="1:31" s="44" customFormat="1" ht="17.25">
      <c r="A25" s="52"/>
      <c r="B25" s="53"/>
      <c r="C25" s="52"/>
      <c r="D25" s="60"/>
      <c r="E25" s="54"/>
      <c r="F25" s="54"/>
      <c r="G25" s="54"/>
      <c r="H25" s="54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55"/>
      <c r="U25" s="55"/>
    </row>
    <row r="26" spans="1:31" s="44" customFormat="1">
      <c r="A26" s="56" t="s">
        <v>52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  <c r="U26" s="49"/>
    </row>
    <row r="27" spans="1:31" s="44" customFormat="1">
      <c r="A27" s="47" t="s">
        <v>66</v>
      </c>
      <c r="B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7"/>
      <c r="U27" s="49"/>
    </row>
    <row r="28" spans="1:31" s="44" customFormat="1">
      <c r="A28" s="58" t="s">
        <v>35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7"/>
      <c r="U28" s="49"/>
    </row>
    <row r="29" spans="1:31" s="44" customFormat="1">
      <c r="A29" s="48" t="s">
        <v>36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51"/>
      <c r="W29" s="51"/>
      <c r="X29" s="51"/>
      <c r="Y29" s="51"/>
    </row>
    <row r="30" spans="1:31" s="44" customFormat="1">
      <c r="A30" s="52" t="s">
        <v>61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/>
      <c r="X30" s="51"/>
      <c r="Y30" s="51"/>
    </row>
    <row r="31" spans="1:31" s="44" customFormat="1">
      <c r="A31" s="52" t="s">
        <v>38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/>
      <c r="X31" s="51"/>
      <c r="Y31" s="51"/>
    </row>
    <row r="32" spans="1:31" s="44" customFormat="1">
      <c r="A32" s="62" t="s">
        <v>127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/>
      <c r="X32" s="51"/>
      <c r="Y32" s="51"/>
    </row>
    <row r="33" spans="1:25" s="44" customFormat="1">
      <c r="A33" s="125" t="s">
        <v>175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1"/>
      <c r="W33" s="51"/>
    </row>
    <row r="34" spans="1:25" s="44" customFormat="1">
      <c r="A34" s="62" t="s">
        <v>128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1"/>
      <c r="X34" s="51"/>
      <c r="Y34" s="51"/>
    </row>
    <row r="35" spans="1:25" s="44" customFormat="1">
      <c r="A35" s="48" t="s">
        <v>39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/>
      <c r="X35" s="51"/>
      <c r="Y35" s="51"/>
    </row>
    <row r="36" spans="1:25" s="44" customFormat="1">
      <c r="A36" s="48" t="s">
        <v>40</v>
      </c>
      <c r="B36" s="49"/>
      <c r="C36" s="29"/>
      <c r="D36" s="29"/>
      <c r="E36" s="29"/>
      <c r="F36" s="29"/>
      <c r="G36" s="69"/>
      <c r="H36" s="29"/>
      <c r="I36" s="29"/>
      <c r="J36" s="29"/>
      <c r="K36" s="29"/>
      <c r="L36" s="29"/>
      <c r="M36" s="29"/>
      <c r="N36" s="69"/>
      <c r="O36" s="29"/>
      <c r="P36" s="29"/>
      <c r="Q36" s="29"/>
      <c r="R36" s="29"/>
      <c r="S36" s="29"/>
      <c r="T36" s="29"/>
      <c r="U36" s="99"/>
      <c r="V36" s="29"/>
      <c r="W36" s="29"/>
      <c r="X36" s="29"/>
      <c r="Y36" s="29"/>
    </row>
    <row r="37" spans="1:25" s="44" customFormat="1" ht="12.75" customHeight="1">
      <c r="A37" s="181" t="s">
        <v>41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</row>
    <row r="38" spans="1:25" s="44" customFormat="1">
      <c r="A38" s="48" t="s">
        <v>42</v>
      </c>
    </row>
    <row r="39" spans="1:25" s="44" customFormat="1">
      <c r="A39" s="48" t="s">
        <v>171</v>
      </c>
    </row>
  </sheetData>
  <sheetProtection selectLockedCells="1" selectUnlockedCells="1"/>
  <mergeCells count="22">
    <mergeCell ref="A1:W1"/>
    <mergeCell ref="A7:W7"/>
    <mergeCell ref="A8:A9"/>
    <mergeCell ref="B8:C9"/>
    <mergeCell ref="D8:J8"/>
    <mergeCell ref="K8:Q8"/>
    <mergeCell ref="R8:U8"/>
    <mergeCell ref="V8:W8"/>
    <mergeCell ref="A6:W6"/>
    <mergeCell ref="A5:W5"/>
    <mergeCell ref="A4:W4"/>
    <mergeCell ref="A3:W3"/>
    <mergeCell ref="A2:W2"/>
    <mergeCell ref="A37:Y37"/>
    <mergeCell ref="A10:A15"/>
    <mergeCell ref="B10:B11"/>
    <mergeCell ref="B14:B15"/>
    <mergeCell ref="A17:A22"/>
    <mergeCell ref="B17:B18"/>
    <mergeCell ref="B21:B22"/>
    <mergeCell ref="B12:B13"/>
    <mergeCell ref="B19:B20"/>
  </mergeCells>
  <pageMargins left="0.56111111111111112" right="0.39583333333333331" top="0.36736111111111114" bottom="0.36736111111111114" header="0.51180555555555551" footer="0.51180555555555551"/>
  <pageSetup scale="36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topLeftCell="A91" workbookViewId="0">
      <selection activeCell="F114" sqref="F114"/>
    </sheetView>
  </sheetViews>
  <sheetFormatPr defaultColWidth="11.7109375" defaultRowHeight="15"/>
  <cols>
    <col min="1" max="1" width="6.42578125" style="31" customWidth="1"/>
    <col min="2" max="2" width="13.28515625" style="31" customWidth="1"/>
    <col min="3" max="3" width="10.85546875" style="31" customWidth="1"/>
    <col min="4" max="4" width="10.5703125" style="31" bestFit="1" customWidth="1"/>
    <col min="5" max="5" width="13" style="31" bestFit="1" customWidth="1"/>
    <col min="6" max="6" width="9.42578125" style="31" bestFit="1" customWidth="1"/>
    <col min="7" max="7" width="6.85546875" style="31" customWidth="1"/>
    <col min="8" max="8" width="11.140625" style="31" bestFit="1" customWidth="1"/>
    <col min="9" max="9" width="10.42578125" style="31" bestFit="1" customWidth="1"/>
    <col min="10" max="10" width="10.5703125" style="31" bestFit="1" customWidth="1"/>
    <col min="11" max="11" width="13" style="31" bestFit="1" customWidth="1"/>
    <col min="12" max="12" width="9.42578125" style="31" bestFit="1" customWidth="1"/>
    <col min="13" max="13" width="5.5703125" style="31" bestFit="1" customWidth="1"/>
    <col min="14" max="14" width="9.7109375" style="31" bestFit="1" customWidth="1"/>
    <col min="15" max="15" width="10.42578125" style="31" bestFit="1" customWidth="1"/>
    <col min="16" max="16" width="12.5703125" style="31" bestFit="1" customWidth="1"/>
    <col min="17" max="17" width="9.5703125" style="31" bestFit="1" customWidth="1"/>
    <col min="18" max="18" width="11.42578125" style="31" bestFit="1" customWidth="1"/>
    <col min="19" max="19" width="12.7109375" style="31" customWidth="1"/>
    <col min="20" max="20" width="7.85546875" style="31" bestFit="1" customWidth="1"/>
    <col min="21" max="21" width="7.85546875" style="31" customWidth="1"/>
    <col min="22" max="22" width="11.28515625" style="31" bestFit="1" customWidth="1"/>
    <col min="23" max="23" width="7.42578125" style="31" bestFit="1" customWidth="1"/>
    <col min="24" max="24" width="10.7109375" style="31" bestFit="1" customWidth="1"/>
    <col min="25" max="25" width="11.7109375" style="31" hidden="1" customWidth="1"/>
    <col min="26" max="26" width="0.42578125" style="31" hidden="1" customWidth="1"/>
    <col min="27" max="32" width="11.7109375" style="31" hidden="1" customWidth="1"/>
    <col min="33" max="38" width="11.7109375" style="31" customWidth="1"/>
    <col min="39" max="16384" width="11.7109375" style="31"/>
  </cols>
  <sheetData>
    <row r="1" spans="1:32" ht="46.5">
      <c r="A1" s="210" t="s">
        <v>104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2"/>
    </row>
    <row r="2" spans="1:32" ht="28.5">
      <c r="A2" s="213" t="s">
        <v>114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5"/>
    </row>
    <row r="3" spans="1:32" ht="28.5">
      <c r="A3" s="213" t="s">
        <v>105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5"/>
    </row>
    <row r="4" spans="1:32" ht="28.5">
      <c r="A4" s="213" t="s">
        <v>106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5"/>
    </row>
    <row r="5" spans="1:32" ht="20.25" customHeight="1">
      <c r="A5" s="216" t="s">
        <v>110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8"/>
    </row>
    <row r="6" spans="1:32" ht="19.5" thickBot="1">
      <c r="A6" s="198" t="s">
        <v>167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200"/>
    </row>
    <row r="7" spans="1:32" ht="15.75" thickBot="1">
      <c r="A7" s="201" t="s">
        <v>103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</row>
    <row r="8" spans="1:32" ht="12.75" customHeight="1" thickBot="1">
      <c r="A8" s="249" t="s">
        <v>4</v>
      </c>
      <c r="B8" s="251" t="s">
        <v>5</v>
      </c>
      <c r="C8" s="251"/>
      <c r="D8" s="253" t="s">
        <v>6</v>
      </c>
      <c r="E8" s="253"/>
      <c r="F8" s="253"/>
      <c r="G8" s="253"/>
      <c r="H8" s="253"/>
      <c r="I8" s="253"/>
      <c r="J8" s="253" t="s">
        <v>7</v>
      </c>
      <c r="K8" s="253"/>
      <c r="L8" s="253"/>
      <c r="M8" s="253"/>
      <c r="N8" s="253"/>
      <c r="O8" s="253"/>
      <c r="P8" s="254" t="s">
        <v>8</v>
      </c>
      <c r="Q8" s="254"/>
      <c r="R8" s="254"/>
      <c r="S8" s="254"/>
      <c r="T8" s="254"/>
      <c r="U8" s="254"/>
      <c r="V8" s="254"/>
      <c r="W8" s="254" t="s">
        <v>9</v>
      </c>
      <c r="X8" s="255"/>
    </row>
    <row r="9" spans="1:32" ht="64.5" thickBot="1">
      <c r="A9" s="250"/>
      <c r="B9" s="252"/>
      <c r="C9" s="252"/>
      <c r="D9" s="97" t="s">
        <v>10</v>
      </c>
      <c r="E9" s="97" t="s">
        <v>11</v>
      </c>
      <c r="F9" s="92" t="s">
        <v>12</v>
      </c>
      <c r="G9" s="92" t="s">
        <v>133</v>
      </c>
      <c r="H9" s="92" t="s">
        <v>13</v>
      </c>
      <c r="I9" s="92" t="s">
        <v>14</v>
      </c>
      <c r="J9" s="97" t="s">
        <v>10</v>
      </c>
      <c r="K9" s="97" t="s">
        <v>15</v>
      </c>
      <c r="L9" s="92" t="s">
        <v>12</v>
      </c>
      <c r="M9" s="92" t="s">
        <v>133</v>
      </c>
      <c r="N9" s="92" t="s">
        <v>13</v>
      </c>
      <c r="O9" s="92" t="s">
        <v>14</v>
      </c>
      <c r="P9" s="92" t="s">
        <v>16</v>
      </c>
      <c r="Q9" s="97" t="s">
        <v>17</v>
      </c>
      <c r="R9" s="92" t="s">
        <v>18</v>
      </c>
      <c r="S9" s="92" t="s">
        <v>19</v>
      </c>
      <c r="T9" s="92" t="s">
        <v>20</v>
      </c>
      <c r="U9" s="5" t="s">
        <v>139</v>
      </c>
      <c r="V9" s="92" t="s">
        <v>21</v>
      </c>
      <c r="W9" s="92" t="s">
        <v>22</v>
      </c>
      <c r="X9" s="98" t="s">
        <v>23</v>
      </c>
    </row>
    <row r="10" spans="1:32" ht="20.100000000000001" customHeight="1">
      <c r="A10" s="222" t="s">
        <v>67</v>
      </c>
      <c r="B10" s="184" t="s">
        <v>68</v>
      </c>
      <c r="C10" s="78" t="s">
        <v>26</v>
      </c>
      <c r="D10" s="79">
        <v>572082.81000000006</v>
      </c>
      <c r="E10" s="105">
        <f>((D10*95%*3.283%)-((D10*95%*3.283%)*40%)+13434)+((D10*95%*3.283%)-((D10*95%*3.283%)*40%)+13434)*18%+(D10*95%*0.1%+250)+(D10*95%*0.1%+250)*18%-IF((((D10*95%*3.283%)-((D10*95%*3.283%)*40%))*2.5%)&gt;500,500,(((D10*95%*3.283%)-((D10*95%*3.283%)*40%))*2.5%))-IF((((D10*95%*3.283%)-((D10*95%*3.283%)*40%))*2.5%)&gt;500,500,(((D10*95%*3.283%)-((D10*95%*3.283%)*40%))*2.5%))*18%</f>
        <v>29105.036808008557</v>
      </c>
      <c r="F10" s="79">
        <f t="shared" ref="F10:F31" si="0">(D10*11/100)+(D10*11/100)*2/100+1500</f>
        <v>65687.691282</v>
      </c>
      <c r="G10" s="79">
        <v>600</v>
      </c>
      <c r="H10" s="79">
        <v>2999</v>
      </c>
      <c r="I10" s="80">
        <f>D10+E10+F10+H10+G10</f>
        <v>670474.53809000866</v>
      </c>
      <c r="J10" s="79">
        <f t="shared" ref="J10:J31" si="1">D10</f>
        <v>572082.81000000006</v>
      </c>
      <c r="K10" s="105">
        <f t="shared" ref="K10:K31" si="2">((J10*95%*3.283%)-((J10*95%*3.283%)*40%)+11184)+((J10*95%*3.283%)-((J10*95%*3.283%)*40%)+11184)*18%+(J10*95%*0.1%+250)+(J10*95%*0.1%+250)*18%-IF((((J10*95%*3.283%)-((J10*95%*3.283%)*40%))*2.5%)&gt;500,500,(((J10*95%*3.283%)-((J10*95%*3.283%)*40%))*2.5%))-IF((((J10*95%*3.283%)-((J10*95%*3.283%)*40%))*2.5%)&gt;500,500,(((J10*95%*3.283%)-((J10*95%*3.283%)*40%))*2.5%))*18%</f>
        <v>26450.036808008557</v>
      </c>
      <c r="L10" s="82">
        <f t="shared" ref="L10:L31" si="3">(J10*20/100)+(J10*20/100)*2/100+1500</f>
        <v>118204.89324</v>
      </c>
      <c r="M10" s="82">
        <v>600</v>
      </c>
      <c r="N10" s="79">
        <v>2999</v>
      </c>
      <c r="O10" s="80">
        <f>J10+K10+L10+N10+M10</f>
        <v>720336.74004800862</v>
      </c>
      <c r="P10" s="82">
        <v>7147</v>
      </c>
      <c r="Q10" s="82">
        <v>4834</v>
      </c>
      <c r="R10" s="82">
        <v>7100</v>
      </c>
      <c r="S10" s="82">
        <f t="shared" ref="S10:S31" si="4">AB10</f>
        <v>4168.4813950650005</v>
      </c>
      <c r="T10" s="82">
        <f t="shared" ref="T10:T31" si="5">AB10</f>
        <v>4168.4813950650005</v>
      </c>
      <c r="U10" s="82">
        <f>((D10*95%)*0.17%)*1.18</f>
        <v>1090.2182110170002</v>
      </c>
      <c r="V10" s="82">
        <v>7999</v>
      </c>
      <c r="W10" s="80">
        <f>I10+P10+Q10+S10+V10+R10+U10</f>
        <v>702813.2376960906</v>
      </c>
      <c r="X10" s="83">
        <f>O10+P10+Q10+T10+V10+R10+U10</f>
        <v>752675.43965409056</v>
      </c>
      <c r="Y10" s="32">
        <f t="shared" ref="Y10:Y31" si="6">D10*95/100</f>
        <v>543478.66950000008</v>
      </c>
      <c r="Z10" s="32">
        <f t="shared" ref="Z10:Z31" si="7">Y10*0.65/100</f>
        <v>3532.6113517500007</v>
      </c>
      <c r="AA10" s="32">
        <f t="shared" ref="AA10:AA31" si="8">Z10*18/100</f>
        <v>635.8700433150002</v>
      </c>
      <c r="AB10" s="32">
        <f t="shared" ref="AB10:AB31" si="9">Z10+AA10</f>
        <v>4168.4813950650005</v>
      </c>
      <c r="AC10" s="31">
        <v>691108</v>
      </c>
      <c r="AD10" s="31">
        <v>743511</v>
      </c>
      <c r="AE10" s="32">
        <f>+AC10-W10</f>
        <v>-11705.237696090597</v>
      </c>
      <c r="AF10" s="32">
        <f>+AD10-X10</f>
        <v>-9164.4396540905582</v>
      </c>
    </row>
    <row r="11" spans="1:32" ht="20.100000000000001" customHeight="1">
      <c r="A11" s="223"/>
      <c r="B11" s="185"/>
      <c r="C11" s="71" t="s">
        <v>27</v>
      </c>
      <c r="D11" s="72">
        <v>576082.80000000005</v>
      </c>
      <c r="E11" s="106">
        <f>((D11*95%*3.283%)-((D11*95%*3.283%)*40%)+13434)+((D11*95%*3.283%)-((D11*95%*3.283%)*40%)+13434)*18%+(D11*95%*0.1%+250)+(D11*95%*0.1%+250)*18%-IF((((D11*95%*3.283%)-((D11*95%*3.283%)*40%))*2.5%)&gt;500,500,(((D11*95%*3.283%)-((D11*95%*3.283%)*40%))*2.5%))-IF((((D11*95%*3.283%)-((D11*95%*3.283%)*40%))*2.5%)&gt;500,500,(((D11*95%*3.283%)-((D11*95%*3.283%)*40%))*2.5%))*18%</f>
        <v>29195.638267704344</v>
      </c>
      <c r="F11" s="72">
        <f t="shared" si="0"/>
        <v>66136.490160000016</v>
      </c>
      <c r="G11" s="72">
        <v>600</v>
      </c>
      <c r="H11" s="72">
        <v>2999</v>
      </c>
      <c r="I11" s="73">
        <f t="shared" ref="I11:I31" si="10">D11+E11+F11+H11+G11</f>
        <v>675013.92842770438</v>
      </c>
      <c r="J11" s="72">
        <f t="shared" si="1"/>
        <v>576082.80000000005</v>
      </c>
      <c r="K11" s="106">
        <f t="shared" si="2"/>
        <v>26540.638267704344</v>
      </c>
      <c r="L11" s="75">
        <f t="shared" si="3"/>
        <v>119020.8912</v>
      </c>
      <c r="M11" s="75">
        <v>600</v>
      </c>
      <c r="N11" s="72">
        <v>2999</v>
      </c>
      <c r="O11" s="73">
        <f t="shared" ref="O11:O31" si="11">J11+K11+L11+N11+M11</f>
        <v>725243.32946770429</v>
      </c>
      <c r="P11" s="75">
        <v>7147</v>
      </c>
      <c r="Q11" s="75">
        <v>4834</v>
      </c>
      <c r="R11" s="75">
        <v>7100</v>
      </c>
      <c r="S11" s="75">
        <f t="shared" si="4"/>
        <v>4197.6273222</v>
      </c>
      <c r="T11" s="75">
        <f t="shared" si="5"/>
        <v>4197.6273222</v>
      </c>
      <c r="U11" s="75">
        <f t="shared" ref="U11:U31" si="12">((D11*95%)*0.17%)*1.18</f>
        <v>1097.8409919600001</v>
      </c>
      <c r="V11" s="75">
        <v>7999</v>
      </c>
      <c r="W11" s="73">
        <f t="shared" ref="W11:W31" si="13">I11+P11+Q11+S11+V11+R11+U11</f>
        <v>707389.39674186439</v>
      </c>
      <c r="X11" s="84">
        <f t="shared" ref="X11:X31" si="14">O11+P11+Q11+T11+V11+R11+U11</f>
        <v>757618.7977818643</v>
      </c>
      <c r="Y11" s="32">
        <f t="shared" si="6"/>
        <v>547278.66</v>
      </c>
      <c r="Z11" s="32">
        <f t="shared" si="7"/>
        <v>3557.3112900000001</v>
      </c>
      <c r="AA11" s="32">
        <f t="shared" si="8"/>
        <v>640.3160322</v>
      </c>
      <c r="AB11" s="32">
        <f t="shared" si="9"/>
        <v>4197.6273222</v>
      </c>
      <c r="AC11" s="31">
        <v>695686</v>
      </c>
      <c r="AD11" s="31">
        <v>748455</v>
      </c>
      <c r="AE11" s="32">
        <f t="shared" ref="AE11:AE31" si="15">+AC11-W11</f>
        <v>-11703.396741864388</v>
      </c>
      <c r="AF11" s="32">
        <f t="shared" ref="AF11:AF31" si="16">+AD11-X11</f>
        <v>-9163.7977818642976</v>
      </c>
    </row>
    <row r="12" spans="1:32" ht="20.85" customHeight="1">
      <c r="A12" s="223"/>
      <c r="B12" s="185" t="s">
        <v>69</v>
      </c>
      <c r="C12" s="71" t="s">
        <v>26</v>
      </c>
      <c r="D12" s="72">
        <v>583898.79</v>
      </c>
      <c r="E12" s="106">
        <f t="shared" ref="E12:E31" si="17">((D12*95%*3.283%)-((D12*95%*3.283%)*40%)+13434)+((D12*95%*3.283%)-((D12*95%*3.283%)*40%)+13434)*18%+(D12*95%*0.1%+250)+(D12*95%*0.1%+250)*18%-IF((((D12*95%*3.283%)-((D12*95%*3.283%)*40%))*2.5%)&gt;500,500,(((D12*95%*3.283%)-((D12*95%*3.283%)*40%))*2.5%))-IF((((D12*95%*3.283%)-((D12*95%*3.283%)*40%))*2.5%)&gt;500,500,(((D12*95%*3.283%)-((D12*95%*3.283%)*40%))*2.5%))*18%</f>
        <v>29372.673736034922</v>
      </c>
      <c r="F12" s="72">
        <f t="shared" si="0"/>
        <v>67013.444237999996</v>
      </c>
      <c r="G12" s="72">
        <v>600</v>
      </c>
      <c r="H12" s="72">
        <v>2999</v>
      </c>
      <c r="I12" s="73">
        <f t="shared" si="10"/>
        <v>683883.9079740349</v>
      </c>
      <c r="J12" s="72">
        <f t="shared" si="1"/>
        <v>583898.79</v>
      </c>
      <c r="K12" s="106">
        <f t="shared" si="2"/>
        <v>26717.673736034922</v>
      </c>
      <c r="L12" s="75">
        <f t="shared" si="3"/>
        <v>120615.35316</v>
      </c>
      <c r="M12" s="75">
        <v>600</v>
      </c>
      <c r="N12" s="72">
        <v>2999</v>
      </c>
      <c r="O12" s="73">
        <f t="shared" si="11"/>
        <v>734830.81689603487</v>
      </c>
      <c r="P12" s="75">
        <v>7147</v>
      </c>
      <c r="Q12" s="75">
        <v>4834</v>
      </c>
      <c r="R12" s="75">
        <v>7100</v>
      </c>
      <c r="S12" s="75">
        <f t="shared" si="4"/>
        <v>4254.5785333350004</v>
      </c>
      <c r="T12" s="75">
        <f t="shared" si="5"/>
        <v>4254.5785333350004</v>
      </c>
      <c r="U12" s="75">
        <f t="shared" si="12"/>
        <v>1112.7359241030001</v>
      </c>
      <c r="V12" s="75">
        <v>7999</v>
      </c>
      <c r="W12" s="73">
        <f t="shared" si="13"/>
        <v>716331.22243147285</v>
      </c>
      <c r="X12" s="84">
        <f t="shared" si="14"/>
        <v>767278.13135347283</v>
      </c>
      <c r="Y12" s="91">
        <f t="shared" si="6"/>
        <v>554703.85050000006</v>
      </c>
      <c r="Z12" s="37">
        <f t="shared" si="7"/>
        <v>3605.5750282500003</v>
      </c>
      <c r="AA12" s="32">
        <f t="shared" si="8"/>
        <v>649.00350508500003</v>
      </c>
      <c r="AB12" s="38">
        <f t="shared" si="9"/>
        <v>4254.5785333350004</v>
      </c>
      <c r="AC12" s="100">
        <v>704628</v>
      </c>
      <c r="AD12" s="100">
        <v>758115</v>
      </c>
      <c r="AE12" s="32">
        <f t="shared" si="15"/>
        <v>-11703.222431472852</v>
      </c>
      <c r="AF12" s="32">
        <f t="shared" si="16"/>
        <v>-9163.1313534728251</v>
      </c>
    </row>
    <row r="13" spans="1:32" ht="20.85" customHeight="1">
      <c r="A13" s="223"/>
      <c r="B13" s="185"/>
      <c r="C13" s="71" t="s">
        <v>27</v>
      </c>
      <c r="D13" s="72">
        <v>587898.81000000006</v>
      </c>
      <c r="E13" s="106">
        <f t="shared" si="17"/>
        <v>29463.275875243355</v>
      </c>
      <c r="F13" s="72">
        <f t="shared" si="0"/>
        <v>67462.246482000002</v>
      </c>
      <c r="G13" s="72">
        <v>600</v>
      </c>
      <c r="H13" s="72">
        <v>2999</v>
      </c>
      <c r="I13" s="73">
        <f t="shared" si="10"/>
        <v>688423.3323572434</v>
      </c>
      <c r="J13" s="72">
        <f t="shared" si="1"/>
        <v>587898.81000000006</v>
      </c>
      <c r="K13" s="106">
        <f t="shared" si="2"/>
        <v>26808.275875243355</v>
      </c>
      <c r="L13" s="75">
        <f t="shared" si="3"/>
        <v>121431.35724000001</v>
      </c>
      <c r="M13" s="75">
        <v>600</v>
      </c>
      <c r="N13" s="72">
        <v>2999</v>
      </c>
      <c r="O13" s="73">
        <f t="shared" si="11"/>
        <v>739737.44311524346</v>
      </c>
      <c r="P13" s="75">
        <v>7147</v>
      </c>
      <c r="Q13" s="75">
        <v>4834</v>
      </c>
      <c r="R13" s="75">
        <v>7100</v>
      </c>
      <c r="S13" s="75">
        <f t="shared" si="4"/>
        <v>4283.7246790650006</v>
      </c>
      <c r="T13" s="75">
        <f t="shared" si="5"/>
        <v>4283.7246790650006</v>
      </c>
      <c r="U13" s="75">
        <f t="shared" si="12"/>
        <v>1120.358762217</v>
      </c>
      <c r="V13" s="75">
        <v>7999</v>
      </c>
      <c r="W13" s="73">
        <f t="shared" si="13"/>
        <v>720907.41579852544</v>
      </c>
      <c r="X13" s="84">
        <f t="shared" si="14"/>
        <v>772221.5265565255</v>
      </c>
      <c r="Y13" s="32">
        <f t="shared" si="6"/>
        <v>558503.86950000003</v>
      </c>
      <c r="Z13" s="32">
        <f t="shared" si="7"/>
        <v>3630.2751517500001</v>
      </c>
      <c r="AA13" s="32">
        <f t="shared" si="8"/>
        <v>653.44952731500007</v>
      </c>
      <c r="AB13" s="32">
        <f t="shared" si="9"/>
        <v>4283.7246790650006</v>
      </c>
      <c r="AC13" s="100">
        <v>709204</v>
      </c>
      <c r="AD13" s="100">
        <v>763058</v>
      </c>
      <c r="AE13" s="32">
        <f t="shared" si="15"/>
        <v>-11703.415798525442</v>
      </c>
      <c r="AF13" s="32">
        <f t="shared" si="16"/>
        <v>-9163.5265565254958</v>
      </c>
    </row>
    <row r="14" spans="1:32" ht="21.6" customHeight="1">
      <c r="A14" s="223"/>
      <c r="B14" s="185" t="s">
        <v>70</v>
      </c>
      <c r="C14" s="71" t="s">
        <v>26</v>
      </c>
      <c r="D14" s="72">
        <v>655776.78</v>
      </c>
      <c r="E14" s="106">
        <f t="shared" si="17"/>
        <v>31000.740509701605</v>
      </c>
      <c r="F14" s="72">
        <f t="shared" si="0"/>
        <v>75078.154716000005</v>
      </c>
      <c r="G14" s="72">
        <v>600</v>
      </c>
      <c r="H14" s="72">
        <v>2999</v>
      </c>
      <c r="I14" s="73">
        <f t="shared" si="10"/>
        <v>765454.67522570165</v>
      </c>
      <c r="J14" s="72">
        <f t="shared" si="1"/>
        <v>655776.78</v>
      </c>
      <c r="K14" s="106">
        <f t="shared" si="2"/>
        <v>28345.740509701605</v>
      </c>
      <c r="L14" s="75">
        <f t="shared" si="3"/>
        <v>135278.46312000003</v>
      </c>
      <c r="M14" s="75">
        <v>600</v>
      </c>
      <c r="N14" s="72">
        <v>2999</v>
      </c>
      <c r="O14" s="73">
        <f t="shared" si="11"/>
        <v>822999.98362970166</v>
      </c>
      <c r="P14" s="75">
        <v>7147</v>
      </c>
      <c r="Q14" s="75">
        <v>4834</v>
      </c>
      <c r="R14" s="75">
        <v>7100</v>
      </c>
      <c r="S14" s="75">
        <f t="shared" si="4"/>
        <v>4778.3175074700002</v>
      </c>
      <c r="T14" s="75">
        <f t="shared" si="5"/>
        <v>4778.3175074700002</v>
      </c>
      <c r="U14" s="75">
        <f t="shared" si="12"/>
        <v>1249.7138096460001</v>
      </c>
      <c r="V14" s="75">
        <v>7999</v>
      </c>
      <c r="W14" s="73">
        <f t="shared" si="13"/>
        <v>798562.70654281764</v>
      </c>
      <c r="X14" s="84">
        <f t="shared" si="14"/>
        <v>856108.01494681765</v>
      </c>
      <c r="Y14" s="32">
        <f t="shared" si="6"/>
        <v>622987.94099999999</v>
      </c>
      <c r="Z14" s="32">
        <f t="shared" si="7"/>
        <v>4049.4216165000003</v>
      </c>
      <c r="AA14" s="32">
        <f t="shared" si="8"/>
        <v>728.89589096999998</v>
      </c>
      <c r="AB14" s="32">
        <f t="shared" si="9"/>
        <v>4778.3175074700002</v>
      </c>
      <c r="AC14" s="100">
        <v>786859</v>
      </c>
      <c r="AD14" s="100">
        <v>846944</v>
      </c>
      <c r="AE14" s="32">
        <f t="shared" si="15"/>
        <v>-11703.706542817643</v>
      </c>
      <c r="AF14" s="32">
        <f t="shared" si="16"/>
        <v>-9164.0149468176533</v>
      </c>
    </row>
    <row r="15" spans="1:32" ht="21.6" customHeight="1">
      <c r="A15" s="223"/>
      <c r="B15" s="185"/>
      <c r="C15" s="71" t="s">
        <v>27</v>
      </c>
      <c r="D15" s="72">
        <v>659776.77</v>
      </c>
      <c r="E15" s="106">
        <f t="shared" si="17"/>
        <v>31091.341969397392</v>
      </c>
      <c r="F15" s="72">
        <f t="shared" si="0"/>
        <v>75526.953594000006</v>
      </c>
      <c r="G15" s="72">
        <v>600</v>
      </c>
      <c r="H15" s="72">
        <v>2999</v>
      </c>
      <c r="I15" s="73">
        <f t="shared" si="10"/>
        <v>769994.06556339737</v>
      </c>
      <c r="J15" s="72">
        <f t="shared" si="1"/>
        <v>659776.77</v>
      </c>
      <c r="K15" s="106">
        <f t="shared" si="2"/>
        <v>28436.341969397392</v>
      </c>
      <c r="L15" s="75">
        <f t="shared" si="3"/>
        <v>136094.46107999998</v>
      </c>
      <c r="M15" s="75">
        <v>600</v>
      </c>
      <c r="N15" s="72">
        <v>2999</v>
      </c>
      <c r="O15" s="73">
        <f t="shared" si="11"/>
        <v>827906.57304939744</v>
      </c>
      <c r="P15" s="75">
        <v>7147</v>
      </c>
      <c r="Q15" s="75">
        <v>4834</v>
      </c>
      <c r="R15" s="75">
        <v>7100</v>
      </c>
      <c r="S15" s="75">
        <f t="shared" si="4"/>
        <v>4807.4634346049997</v>
      </c>
      <c r="T15" s="75">
        <f t="shared" si="5"/>
        <v>4807.4634346049997</v>
      </c>
      <c r="U15" s="75">
        <f t="shared" si="12"/>
        <v>1257.3365905889998</v>
      </c>
      <c r="V15" s="75">
        <v>7999</v>
      </c>
      <c r="W15" s="73">
        <f t="shared" si="13"/>
        <v>803138.86558859143</v>
      </c>
      <c r="X15" s="84">
        <f t="shared" si="14"/>
        <v>861051.37307459151</v>
      </c>
      <c r="Y15" s="32">
        <f t="shared" si="6"/>
        <v>626787.93149999995</v>
      </c>
      <c r="Z15" s="32">
        <f t="shared" si="7"/>
        <v>4074.1215547499996</v>
      </c>
      <c r="AA15" s="32">
        <f t="shared" si="8"/>
        <v>733.341879855</v>
      </c>
      <c r="AB15" s="32">
        <f t="shared" si="9"/>
        <v>4807.4634346049997</v>
      </c>
      <c r="AC15" s="100">
        <v>791435</v>
      </c>
      <c r="AD15" s="100">
        <v>851887</v>
      </c>
      <c r="AE15" s="32">
        <f t="shared" si="15"/>
        <v>-11703.865588591434</v>
      </c>
      <c r="AF15" s="32">
        <f t="shared" si="16"/>
        <v>-9164.3730745915091</v>
      </c>
    </row>
    <row r="16" spans="1:32" ht="21.6" customHeight="1">
      <c r="A16" s="223"/>
      <c r="B16" s="185" t="s">
        <v>71</v>
      </c>
      <c r="C16" s="71" t="s">
        <v>26</v>
      </c>
      <c r="D16" s="72">
        <v>669370.77</v>
      </c>
      <c r="E16" s="106">
        <f t="shared" si="17"/>
        <v>31308.650113748092</v>
      </c>
      <c r="F16" s="72">
        <f t="shared" si="0"/>
        <v>76603.400393999997</v>
      </c>
      <c r="G16" s="72">
        <v>600</v>
      </c>
      <c r="H16" s="72">
        <v>2999</v>
      </c>
      <c r="I16" s="73">
        <f t="shared" si="10"/>
        <v>780881.82050774805</v>
      </c>
      <c r="J16" s="72">
        <f t="shared" si="1"/>
        <v>669370.77</v>
      </c>
      <c r="K16" s="106">
        <f t="shared" si="2"/>
        <v>28653.650113748092</v>
      </c>
      <c r="L16" s="75">
        <f t="shared" si="3"/>
        <v>138051.63708000001</v>
      </c>
      <c r="M16" s="75">
        <v>600</v>
      </c>
      <c r="N16" s="72">
        <v>2999</v>
      </c>
      <c r="O16" s="73">
        <f t="shared" si="11"/>
        <v>839675.05719374807</v>
      </c>
      <c r="P16" s="75">
        <v>7147</v>
      </c>
      <c r="Q16" s="75">
        <v>4834</v>
      </c>
      <c r="R16" s="75">
        <v>7100</v>
      </c>
      <c r="S16" s="75">
        <f t="shared" si="4"/>
        <v>4877.3701156050001</v>
      </c>
      <c r="T16" s="75">
        <f t="shared" si="5"/>
        <v>4877.3701156050001</v>
      </c>
      <c r="U16" s="75">
        <f t="shared" si="12"/>
        <v>1275.6198763890002</v>
      </c>
      <c r="V16" s="75">
        <v>7999</v>
      </c>
      <c r="W16" s="73">
        <f t="shared" si="13"/>
        <v>814114.81049974205</v>
      </c>
      <c r="X16" s="84">
        <f t="shared" si="14"/>
        <v>872908.04718574206</v>
      </c>
      <c r="Y16" s="32">
        <f t="shared" si="6"/>
        <v>635902.23149999999</v>
      </c>
      <c r="Z16" s="32">
        <f t="shared" si="7"/>
        <v>4133.3645047500004</v>
      </c>
      <c r="AA16" s="32">
        <f t="shared" si="8"/>
        <v>744.0056108550001</v>
      </c>
      <c r="AB16" s="32">
        <f t="shared" si="9"/>
        <v>4877.3701156050001</v>
      </c>
      <c r="AC16" s="100">
        <v>802410</v>
      </c>
      <c r="AD16" s="100">
        <v>863743</v>
      </c>
      <c r="AE16" s="32">
        <f t="shared" si="15"/>
        <v>-11704.810499742045</v>
      </c>
      <c r="AF16" s="32">
        <f t="shared" si="16"/>
        <v>-9165.0471857420634</v>
      </c>
    </row>
    <row r="17" spans="1:32" ht="21.6" customHeight="1">
      <c r="A17" s="223"/>
      <c r="B17" s="185"/>
      <c r="C17" s="71" t="s">
        <v>27</v>
      </c>
      <c r="D17" s="72">
        <v>673370.77</v>
      </c>
      <c r="E17" s="106">
        <f t="shared" si="17"/>
        <v>31399.251799948092</v>
      </c>
      <c r="F17" s="72">
        <f t="shared" si="0"/>
        <v>77052.200394</v>
      </c>
      <c r="G17" s="72">
        <v>600</v>
      </c>
      <c r="H17" s="72">
        <v>2999</v>
      </c>
      <c r="I17" s="73">
        <f t="shared" si="10"/>
        <v>785421.22219394811</v>
      </c>
      <c r="J17" s="72">
        <f t="shared" si="1"/>
        <v>673370.77</v>
      </c>
      <c r="K17" s="106">
        <f t="shared" si="2"/>
        <v>28744.251799948092</v>
      </c>
      <c r="L17" s="75">
        <f t="shared" si="3"/>
        <v>138867.63708000001</v>
      </c>
      <c r="M17" s="75">
        <v>600</v>
      </c>
      <c r="N17" s="72">
        <v>2999</v>
      </c>
      <c r="O17" s="73">
        <f t="shared" si="11"/>
        <v>844581.65887994808</v>
      </c>
      <c r="P17" s="75">
        <v>7147</v>
      </c>
      <c r="Q17" s="75">
        <v>4834</v>
      </c>
      <c r="R17" s="75">
        <v>7100</v>
      </c>
      <c r="S17" s="75">
        <f t="shared" si="4"/>
        <v>4906.5161156049999</v>
      </c>
      <c r="T17" s="75">
        <f t="shared" si="5"/>
        <v>4906.5161156049999</v>
      </c>
      <c r="U17" s="75">
        <f t="shared" si="12"/>
        <v>1283.2426763889998</v>
      </c>
      <c r="V17" s="75">
        <v>7999</v>
      </c>
      <c r="W17" s="73">
        <f t="shared" si="13"/>
        <v>818690.98098594218</v>
      </c>
      <c r="X17" s="84">
        <f t="shared" si="14"/>
        <v>877851.41767194215</v>
      </c>
      <c r="Y17" s="32">
        <f t="shared" si="6"/>
        <v>639702.23149999999</v>
      </c>
      <c r="Z17" s="32">
        <f t="shared" si="7"/>
        <v>4158.0645047500002</v>
      </c>
      <c r="AA17" s="32">
        <f t="shared" si="8"/>
        <v>748.45161085500001</v>
      </c>
      <c r="AB17" s="32">
        <f t="shared" si="9"/>
        <v>4906.5161156049999</v>
      </c>
      <c r="AC17" s="100">
        <v>806987</v>
      </c>
      <c r="AD17" s="100">
        <v>868688</v>
      </c>
      <c r="AE17" s="32">
        <f t="shared" si="15"/>
        <v>-11703.98098594218</v>
      </c>
      <c r="AF17" s="32">
        <f t="shared" si="16"/>
        <v>-9163.4176719421521</v>
      </c>
    </row>
    <row r="18" spans="1:32" ht="21.6" customHeight="1">
      <c r="A18" s="223"/>
      <c r="B18" s="247" t="s">
        <v>132</v>
      </c>
      <c r="C18" s="71" t="s">
        <v>26</v>
      </c>
      <c r="D18" s="72">
        <v>679370.76</v>
      </c>
      <c r="E18" s="106">
        <f t="shared" si="17"/>
        <v>31535.154102743876</v>
      </c>
      <c r="F18" s="72">
        <f t="shared" si="0"/>
        <v>77725.39927200001</v>
      </c>
      <c r="G18" s="72">
        <v>600</v>
      </c>
      <c r="H18" s="72">
        <v>2999</v>
      </c>
      <c r="I18" s="73">
        <f t="shared" si="10"/>
        <v>792230.3133747438</v>
      </c>
      <c r="J18" s="72">
        <f t="shared" si="1"/>
        <v>679370.76</v>
      </c>
      <c r="K18" s="106">
        <f t="shared" si="2"/>
        <v>28880.154102743876</v>
      </c>
      <c r="L18" s="75">
        <f t="shared" si="3"/>
        <v>140091.63503999999</v>
      </c>
      <c r="M18" s="75">
        <v>600</v>
      </c>
      <c r="N18" s="72">
        <v>2999</v>
      </c>
      <c r="O18" s="73">
        <f t="shared" si="11"/>
        <v>851941.54914274381</v>
      </c>
      <c r="P18" s="75">
        <v>7147</v>
      </c>
      <c r="Q18" s="75">
        <v>4834</v>
      </c>
      <c r="R18" s="75">
        <v>7100</v>
      </c>
      <c r="S18" s="75">
        <f>AB18</f>
        <v>4950.2350427400006</v>
      </c>
      <c r="T18" s="75">
        <f>AB18</f>
        <v>4950.2350427400006</v>
      </c>
      <c r="U18" s="75">
        <f t="shared" si="12"/>
        <v>1294.6768573320001</v>
      </c>
      <c r="V18" s="75">
        <v>7999</v>
      </c>
      <c r="W18" s="73">
        <f t="shared" si="13"/>
        <v>825555.22527481581</v>
      </c>
      <c r="X18" s="84">
        <f t="shared" si="14"/>
        <v>885266.46104281582</v>
      </c>
      <c r="Y18" s="32">
        <f t="shared" si="6"/>
        <v>645402.22200000007</v>
      </c>
      <c r="Z18" s="32">
        <f t="shared" si="7"/>
        <v>4195.1144430000004</v>
      </c>
      <c r="AA18" s="32">
        <f>Z18*18/100</f>
        <v>755.12059973999999</v>
      </c>
      <c r="AB18" s="32">
        <f>Z18+AA18</f>
        <v>4950.2350427400006</v>
      </c>
      <c r="AC18" s="100">
        <v>813852</v>
      </c>
      <c r="AD18" s="100">
        <v>876103</v>
      </c>
      <c r="AE18" s="32">
        <f t="shared" si="15"/>
        <v>-11703.225274815806</v>
      </c>
      <c r="AF18" s="32">
        <f t="shared" si="16"/>
        <v>-9163.4610428158194</v>
      </c>
    </row>
    <row r="19" spans="1:32" ht="21.6" customHeight="1">
      <c r="A19" s="223"/>
      <c r="B19" s="247"/>
      <c r="C19" s="71" t="s">
        <v>27</v>
      </c>
      <c r="D19" s="72">
        <v>683370.77</v>
      </c>
      <c r="E19" s="106">
        <f t="shared" si="17"/>
        <v>31625.756015448093</v>
      </c>
      <c r="F19" s="72">
        <f t="shared" si="0"/>
        <v>78174.200394</v>
      </c>
      <c r="G19" s="72">
        <v>600</v>
      </c>
      <c r="H19" s="72">
        <v>2999</v>
      </c>
      <c r="I19" s="73">
        <f t="shared" si="10"/>
        <v>796769.72640944819</v>
      </c>
      <c r="J19" s="72">
        <f t="shared" si="1"/>
        <v>683370.77</v>
      </c>
      <c r="K19" s="106">
        <f t="shared" si="2"/>
        <v>28970.756015448093</v>
      </c>
      <c r="L19" s="75">
        <f t="shared" si="3"/>
        <v>140907.63708000001</v>
      </c>
      <c r="M19" s="75">
        <v>600</v>
      </c>
      <c r="N19" s="72">
        <v>2999</v>
      </c>
      <c r="O19" s="73">
        <f t="shared" si="11"/>
        <v>856848.16309544817</v>
      </c>
      <c r="P19" s="75">
        <v>7147</v>
      </c>
      <c r="Q19" s="75">
        <v>4834</v>
      </c>
      <c r="R19" s="75">
        <v>7100</v>
      </c>
      <c r="S19" s="75">
        <f>AB19</f>
        <v>4979.3811156050006</v>
      </c>
      <c r="T19" s="75">
        <f>AB19</f>
        <v>4979.3811156050006</v>
      </c>
      <c r="U19" s="75">
        <f t="shared" si="12"/>
        <v>1302.2996763890001</v>
      </c>
      <c r="V19" s="75">
        <v>7999</v>
      </c>
      <c r="W19" s="73">
        <f t="shared" si="13"/>
        <v>830131.40720144217</v>
      </c>
      <c r="X19" s="84">
        <f t="shared" si="14"/>
        <v>890209.84388744214</v>
      </c>
      <c r="Y19" s="32">
        <f>D19*95/100</f>
        <v>649202.23149999999</v>
      </c>
      <c r="Z19" s="32">
        <f>Y19*0.65/100</f>
        <v>4219.8145047500002</v>
      </c>
      <c r="AA19" s="32">
        <f>Z19*18/100</f>
        <v>759.56661085500002</v>
      </c>
      <c r="AB19" s="32">
        <f>Z19+AA19</f>
        <v>4979.3811156050006</v>
      </c>
      <c r="AC19" s="100">
        <v>818427</v>
      </c>
      <c r="AD19" s="100">
        <v>881046</v>
      </c>
      <c r="AE19" s="32">
        <f t="shared" si="15"/>
        <v>-11704.407201442169</v>
      </c>
      <c r="AF19" s="32">
        <f t="shared" si="16"/>
        <v>-9163.8438874421408</v>
      </c>
    </row>
    <row r="20" spans="1:32" ht="21.6" customHeight="1">
      <c r="A20" s="223"/>
      <c r="B20" s="247" t="s">
        <v>140</v>
      </c>
      <c r="C20" s="71" t="s">
        <v>26</v>
      </c>
      <c r="D20" s="72">
        <v>679370.76</v>
      </c>
      <c r="E20" s="106">
        <f t="shared" si="17"/>
        <v>31535.154102743876</v>
      </c>
      <c r="F20" s="72">
        <f t="shared" si="0"/>
        <v>77725.39927200001</v>
      </c>
      <c r="G20" s="72">
        <v>600</v>
      </c>
      <c r="H20" s="72">
        <v>2999</v>
      </c>
      <c r="I20" s="73">
        <f t="shared" si="10"/>
        <v>792230.3133747438</v>
      </c>
      <c r="J20" s="72">
        <f t="shared" si="1"/>
        <v>679370.76</v>
      </c>
      <c r="K20" s="106">
        <f t="shared" si="2"/>
        <v>28880.154102743876</v>
      </c>
      <c r="L20" s="75">
        <f t="shared" si="3"/>
        <v>140091.63503999999</v>
      </c>
      <c r="M20" s="75">
        <v>600</v>
      </c>
      <c r="N20" s="72">
        <v>2999</v>
      </c>
      <c r="O20" s="73">
        <f t="shared" si="11"/>
        <v>851941.54914274381</v>
      </c>
      <c r="P20" s="75">
        <v>7147</v>
      </c>
      <c r="Q20" s="75">
        <v>4834</v>
      </c>
      <c r="R20" s="75">
        <v>7100</v>
      </c>
      <c r="S20" s="75">
        <f t="shared" ref="S20:S21" si="18">AB20</f>
        <v>4950.2350427400006</v>
      </c>
      <c r="T20" s="75">
        <f t="shared" ref="T20:T21" si="19">AB20</f>
        <v>4950.2350427400006</v>
      </c>
      <c r="U20" s="75">
        <f t="shared" si="12"/>
        <v>1294.6768573320001</v>
      </c>
      <c r="V20" s="75">
        <v>7999</v>
      </c>
      <c r="W20" s="73">
        <f t="shared" si="13"/>
        <v>825555.22527481581</v>
      </c>
      <c r="X20" s="84">
        <f t="shared" si="14"/>
        <v>885266.46104281582</v>
      </c>
      <c r="Y20" s="32">
        <f t="shared" ref="Y20:Y21" si="20">D20*95/100</f>
        <v>645402.22200000007</v>
      </c>
      <c r="Z20" s="32">
        <f t="shared" ref="Z20:Z21" si="21">Y20*0.65/100</f>
        <v>4195.1144430000004</v>
      </c>
      <c r="AA20" s="32">
        <f t="shared" ref="AA20:AA21" si="22">Z20*18/100</f>
        <v>755.12059973999999</v>
      </c>
      <c r="AB20" s="32">
        <f t="shared" ref="AB20:AB21" si="23">Z20+AA20</f>
        <v>4950.2350427400006</v>
      </c>
      <c r="AC20" s="31">
        <v>813852</v>
      </c>
      <c r="AD20" s="31">
        <v>876103</v>
      </c>
      <c r="AE20" s="32">
        <f t="shared" si="15"/>
        <v>-11703.225274815806</v>
      </c>
      <c r="AF20" s="32">
        <f t="shared" si="16"/>
        <v>-9163.4610428158194</v>
      </c>
    </row>
    <row r="21" spans="1:32" ht="21.6" customHeight="1">
      <c r="A21" s="223"/>
      <c r="B21" s="247"/>
      <c r="C21" s="71" t="s">
        <v>27</v>
      </c>
      <c r="D21" s="72">
        <v>683370.77</v>
      </c>
      <c r="E21" s="106">
        <f t="shared" si="17"/>
        <v>31625.756015448093</v>
      </c>
      <c r="F21" s="72">
        <f t="shared" si="0"/>
        <v>78174.200394</v>
      </c>
      <c r="G21" s="72">
        <v>600</v>
      </c>
      <c r="H21" s="72">
        <v>2999</v>
      </c>
      <c r="I21" s="73">
        <f t="shared" si="10"/>
        <v>796769.72640944819</v>
      </c>
      <c r="J21" s="72">
        <f t="shared" si="1"/>
        <v>683370.77</v>
      </c>
      <c r="K21" s="106">
        <f t="shared" si="2"/>
        <v>28970.756015448093</v>
      </c>
      <c r="L21" s="75">
        <f t="shared" si="3"/>
        <v>140907.63708000001</v>
      </c>
      <c r="M21" s="75">
        <v>600</v>
      </c>
      <c r="N21" s="72">
        <v>2999</v>
      </c>
      <c r="O21" s="73">
        <f t="shared" si="11"/>
        <v>856848.16309544817</v>
      </c>
      <c r="P21" s="75">
        <v>7147</v>
      </c>
      <c r="Q21" s="75">
        <v>4834</v>
      </c>
      <c r="R21" s="75">
        <v>7100</v>
      </c>
      <c r="S21" s="75">
        <f t="shared" si="18"/>
        <v>4979.3811156050006</v>
      </c>
      <c r="T21" s="75">
        <f t="shared" si="19"/>
        <v>4979.3811156050006</v>
      </c>
      <c r="U21" s="75">
        <f t="shared" si="12"/>
        <v>1302.2996763890001</v>
      </c>
      <c r="V21" s="75">
        <v>7999</v>
      </c>
      <c r="W21" s="73">
        <f t="shared" si="13"/>
        <v>830131.40720144217</v>
      </c>
      <c r="X21" s="84">
        <f t="shared" si="14"/>
        <v>890209.84388744214</v>
      </c>
      <c r="Y21" s="32">
        <f t="shared" si="20"/>
        <v>649202.23149999999</v>
      </c>
      <c r="Z21" s="32">
        <f t="shared" si="21"/>
        <v>4219.8145047500002</v>
      </c>
      <c r="AA21" s="32">
        <f t="shared" si="22"/>
        <v>759.56661085500002</v>
      </c>
      <c r="AB21" s="32">
        <f t="shared" si="23"/>
        <v>4979.3811156050006</v>
      </c>
      <c r="AC21" s="31">
        <v>818427</v>
      </c>
      <c r="AD21" s="31">
        <v>881046</v>
      </c>
      <c r="AE21" s="32">
        <f t="shared" si="15"/>
        <v>-11704.407201442169</v>
      </c>
      <c r="AF21" s="32">
        <f t="shared" si="16"/>
        <v>-9163.8438874421408</v>
      </c>
    </row>
    <row r="22" spans="1:32" ht="21.6" customHeight="1">
      <c r="A22" s="223"/>
      <c r="B22" s="185" t="s">
        <v>72</v>
      </c>
      <c r="C22" s="71" t="s">
        <v>26</v>
      </c>
      <c r="D22" s="72">
        <v>722079.76</v>
      </c>
      <c r="E22" s="106">
        <f t="shared" si="17"/>
        <v>32502.530956722825</v>
      </c>
      <c r="F22" s="72">
        <f t="shared" si="0"/>
        <v>82517.349071999997</v>
      </c>
      <c r="G22" s="72">
        <v>600</v>
      </c>
      <c r="H22" s="72">
        <v>2999</v>
      </c>
      <c r="I22" s="73">
        <f t="shared" si="10"/>
        <v>840698.64002872282</v>
      </c>
      <c r="J22" s="72">
        <f t="shared" si="1"/>
        <v>722079.76</v>
      </c>
      <c r="K22" s="106">
        <f t="shared" si="2"/>
        <v>29847.530956722829</v>
      </c>
      <c r="L22" s="75">
        <f t="shared" si="3"/>
        <v>148804.27103999999</v>
      </c>
      <c r="M22" s="75">
        <v>600</v>
      </c>
      <c r="N22" s="72">
        <v>2999</v>
      </c>
      <c r="O22" s="73">
        <f t="shared" si="11"/>
        <v>904330.56199672283</v>
      </c>
      <c r="P22" s="75">
        <v>7147</v>
      </c>
      <c r="Q22" s="75">
        <v>4834</v>
      </c>
      <c r="R22" s="75">
        <v>7100</v>
      </c>
      <c r="S22" s="75">
        <f t="shared" si="4"/>
        <v>5261.4341712400001</v>
      </c>
      <c r="T22" s="75">
        <f t="shared" si="5"/>
        <v>5261.4341712400001</v>
      </c>
      <c r="U22" s="75">
        <f t="shared" si="12"/>
        <v>1376.0673986319998</v>
      </c>
      <c r="V22" s="75">
        <v>7999</v>
      </c>
      <c r="W22" s="73">
        <f t="shared" si="13"/>
        <v>874416.14159859472</v>
      </c>
      <c r="X22" s="84">
        <f t="shared" si="14"/>
        <v>938048.06356659473</v>
      </c>
      <c r="Y22" s="32">
        <f t="shared" si="6"/>
        <v>685975.772</v>
      </c>
      <c r="Z22" s="32">
        <f t="shared" si="7"/>
        <v>4458.8425180000004</v>
      </c>
      <c r="AA22" s="32">
        <f t="shared" si="8"/>
        <v>802.59165324000003</v>
      </c>
      <c r="AB22" s="32">
        <f t="shared" si="9"/>
        <v>5261.4341712400001</v>
      </c>
      <c r="AC22" s="31">
        <v>862711</v>
      </c>
      <c r="AD22" s="31">
        <v>928883</v>
      </c>
      <c r="AE22" s="32">
        <f t="shared" si="15"/>
        <v>-11705.141598594724</v>
      </c>
      <c r="AF22" s="32">
        <f t="shared" si="16"/>
        <v>-9165.0635665947339</v>
      </c>
    </row>
    <row r="23" spans="1:32" ht="21.6" customHeight="1">
      <c r="A23" s="223"/>
      <c r="B23" s="185"/>
      <c r="C23" s="71" t="s">
        <v>27</v>
      </c>
      <c r="D23" s="72">
        <v>726079.76</v>
      </c>
      <c r="E23" s="106">
        <f t="shared" si="17"/>
        <v>32593.132642922825</v>
      </c>
      <c r="F23" s="72">
        <f t="shared" si="0"/>
        <v>82966.149072</v>
      </c>
      <c r="G23" s="72">
        <v>600</v>
      </c>
      <c r="H23" s="72">
        <v>2999</v>
      </c>
      <c r="I23" s="73">
        <f t="shared" si="10"/>
        <v>845238.04171492276</v>
      </c>
      <c r="J23" s="72">
        <f t="shared" si="1"/>
        <v>726079.76</v>
      </c>
      <c r="K23" s="106">
        <f t="shared" si="2"/>
        <v>29938.132642922828</v>
      </c>
      <c r="L23" s="75">
        <f t="shared" si="3"/>
        <v>149620.27103999999</v>
      </c>
      <c r="M23" s="75">
        <v>600</v>
      </c>
      <c r="N23" s="72">
        <v>2999</v>
      </c>
      <c r="O23" s="73">
        <f t="shared" si="11"/>
        <v>909237.16368292284</v>
      </c>
      <c r="P23" s="75">
        <v>7147</v>
      </c>
      <c r="Q23" s="75">
        <v>4834</v>
      </c>
      <c r="R23" s="75">
        <v>7100</v>
      </c>
      <c r="S23" s="75">
        <f t="shared" si="4"/>
        <v>5290.5801712400007</v>
      </c>
      <c r="T23" s="75">
        <f t="shared" si="5"/>
        <v>5290.5801712400007</v>
      </c>
      <c r="U23" s="75">
        <f t="shared" si="12"/>
        <v>1383.6901986319999</v>
      </c>
      <c r="V23" s="75">
        <v>7999</v>
      </c>
      <c r="W23" s="73">
        <f t="shared" si="13"/>
        <v>878992.31208479474</v>
      </c>
      <c r="X23" s="84">
        <f t="shared" si="14"/>
        <v>942991.43405279482</v>
      </c>
      <c r="Y23" s="32">
        <f t="shared" si="6"/>
        <v>689775.772</v>
      </c>
      <c r="Z23" s="32">
        <f t="shared" si="7"/>
        <v>4483.5425180000002</v>
      </c>
      <c r="AA23" s="32">
        <f t="shared" si="8"/>
        <v>807.03765324000005</v>
      </c>
      <c r="AB23" s="32">
        <f t="shared" si="9"/>
        <v>5290.5801712400007</v>
      </c>
      <c r="AC23" s="31">
        <v>867290</v>
      </c>
      <c r="AD23" s="31">
        <v>933829</v>
      </c>
      <c r="AE23" s="32">
        <f t="shared" si="15"/>
        <v>-11702.312084794743</v>
      </c>
      <c r="AF23" s="32">
        <f t="shared" si="16"/>
        <v>-9162.4340527948225</v>
      </c>
    </row>
    <row r="24" spans="1:32" ht="21.6" customHeight="1">
      <c r="A24" s="223"/>
      <c r="B24" s="185" t="s">
        <v>73</v>
      </c>
      <c r="C24" s="71" t="s">
        <v>26</v>
      </c>
      <c r="D24" s="72">
        <v>761390.72</v>
      </c>
      <c r="E24" s="106">
        <f t="shared" si="17"/>
        <v>33392.940772258014</v>
      </c>
      <c r="F24" s="72">
        <f t="shared" si="0"/>
        <v>86928.038784000004</v>
      </c>
      <c r="G24" s="72">
        <v>600</v>
      </c>
      <c r="H24" s="72">
        <v>2999</v>
      </c>
      <c r="I24" s="73">
        <f t="shared" si="10"/>
        <v>885310.69955625792</v>
      </c>
      <c r="J24" s="72">
        <f t="shared" si="1"/>
        <v>761390.72</v>
      </c>
      <c r="K24" s="106">
        <f t="shared" si="2"/>
        <v>30737.940772258011</v>
      </c>
      <c r="L24" s="75">
        <f t="shared" si="3"/>
        <v>156823.70687999998</v>
      </c>
      <c r="M24" s="75">
        <v>600</v>
      </c>
      <c r="N24" s="72">
        <v>2999</v>
      </c>
      <c r="O24" s="73">
        <f t="shared" si="11"/>
        <v>952551.3676522579</v>
      </c>
      <c r="P24" s="75">
        <v>7147</v>
      </c>
      <c r="Q24" s="75">
        <v>4834</v>
      </c>
      <c r="R24" s="75">
        <v>7100</v>
      </c>
      <c r="S24" s="75">
        <f t="shared" si="4"/>
        <v>5547.8734812799994</v>
      </c>
      <c r="T24" s="75">
        <f t="shared" si="5"/>
        <v>5547.8734812799994</v>
      </c>
      <c r="U24" s="75">
        <f t="shared" si="12"/>
        <v>1450.9822951039998</v>
      </c>
      <c r="V24" s="75">
        <v>7999</v>
      </c>
      <c r="W24" s="73">
        <f t="shared" si="13"/>
        <v>919389.55533264193</v>
      </c>
      <c r="X24" s="84">
        <f t="shared" si="14"/>
        <v>986630.22342864191</v>
      </c>
      <c r="Y24" s="32">
        <f t="shared" si="6"/>
        <v>723321.18399999989</v>
      </c>
      <c r="Z24" s="32">
        <f t="shared" si="7"/>
        <v>4701.5876959999996</v>
      </c>
      <c r="AA24" s="32">
        <f t="shared" si="8"/>
        <v>846.28578528000003</v>
      </c>
      <c r="AB24" s="32">
        <f t="shared" si="9"/>
        <v>5547.8734812799994</v>
      </c>
      <c r="AC24" s="31">
        <v>907685</v>
      </c>
      <c r="AD24" s="31">
        <v>977466</v>
      </c>
      <c r="AE24" s="32">
        <f t="shared" si="15"/>
        <v>-11704.555332641932</v>
      </c>
      <c r="AF24" s="32">
        <f t="shared" si="16"/>
        <v>-9164.2234286419116</v>
      </c>
    </row>
    <row r="25" spans="1:32" ht="21.6" customHeight="1">
      <c r="A25" s="223"/>
      <c r="B25" s="185"/>
      <c r="C25" s="71" t="s">
        <v>27</v>
      </c>
      <c r="D25" s="72">
        <v>765390.73</v>
      </c>
      <c r="E25" s="106">
        <f t="shared" si="17"/>
        <v>33483.542684962231</v>
      </c>
      <c r="F25" s="72">
        <f t="shared" si="0"/>
        <v>87376.839905999994</v>
      </c>
      <c r="G25" s="72">
        <v>600</v>
      </c>
      <c r="H25" s="72">
        <v>2999</v>
      </c>
      <c r="I25" s="73">
        <f t="shared" si="10"/>
        <v>889850.11259096221</v>
      </c>
      <c r="J25" s="72">
        <f t="shared" si="1"/>
        <v>765390.73</v>
      </c>
      <c r="K25" s="106">
        <f t="shared" si="2"/>
        <v>30828.542684962231</v>
      </c>
      <c r="L25" s="75">
        <f t="shared" si="3"/>
        <v>157639.70892</v>
      </c>
      <c r="M25" s="75">
        <v>600</v>
      </c>
      <c r="N25" s="72">
        <v>2999</v>
      </c>
      <c r="O25" s="73">
        <f t="shared" si="11"/>
        <v>957457.98160496226</v>
      </c>
      <c r="P25" s="75">
        <v>7147</v>
      </c>
      <c r="Q25" s="75">
        <v>4834</v>
      </c>
      <c r="R25" s="75">
        <v>7100</v>
      </c>
      <c r="S25" s="75">
        <f t="shared" si="4"/>
        <v>5577.0195541450003</v>
      </c>
      <c r="T25" s="75">
        <f t="shared" si="5"/>
        <v>5577.0195541450003</v>
      </c>
      <c r="U25" s="75">
        <f t="shared" si="12"/>
        <v>1458.6051141609998</v>
      </c>
      <c r="V25" s="75">
        <v>7999</v>
      </c>
      <c r="W25" s="73">
        <f t="shared" si="13"/>
        <v>923965.7372592683</v>
      </c>
      <c r="X25" s="84">
        <f t="shared" si="14"/>
        <v>991573.60627326835</v>
      </c>
      <c r="Y25" s="32">
        <f t="shared" si="6"/>
        <v>727121.19349999994</v>
      </c>
      <c r="Z25" s="32">
        <f t="shared" si="7"/>
        <v>4726.2877577500003</v>
      </c>
      <c r="AA25" s="32">
        <f t="shared" si="8"/>
        <v>850.73179639500017</v>
      </c>
      <c r="AB25" s="32">
        <f t="shared" si="9"/>
        <v>5577.0195541450003</v>
      </c>
      <c r="AC25" s="31">
        <v>912261</v>
      </c>
      <c r="AD25" s="31">
        <v>982409</v>
      </c>
      <c r="AE25" s="32">
        <f t="shared" si="15"/>
        <v>-11704.737259268295</v>
      </c>
      <c r="AF25" s="32">
        <f t="shared" si="16"/>
        <v>-9164.6062732683495</v>
      </c>
    </row>
    <row r="26" spans="1:32" ht="21.6" customHeight="1">
      <c r="A26" s="223"/>
      <c r="B26" s="185" t="s">
        <v>74</v>
      </c>
      <c r="C26" s="71" t="s">
        <v>26</v>
      </c>
      <c r="D26" s="72">
        <v>761390.72</v>
      </c>
      <c r="E26" s="106">
        <f t="shared" si="17"/>
        <v>33392.940772258014</v>
      </c>
      <c r="F26" s="72">
        <f t="shared" si="0"/>
        <v>86928.038784000004</v>
      </c>
      <c r="G26" s="72">
        <v>600</v>
      </c>
      <c r="H26" s="72">
        <v>2999</v>
      </c>
      <c r="I26" s="73">
        <f t="shared" si="10"/>
        <v>885310.69955625792</v>
      </c>
      <c r="J26" s="72">
        <f t="shared" si="1"/>
        <v>761390.72</v>
      </c>
      <c r="K26" s="106">
        <f t="shared" si="2"/>
        <v>30737.940772258011</v>
      </c>
      <c r="L26" s="75">
        <f t="shared" si="3"/>
        <v>156823.70687999998</v>
      </c>
      <c r="M26" s="75">
        <v>600</v>
      </c>
      <c r="N26" s="72">
        <v>2999</v>
      </c>
      <c r="O26" s="73">
        <f t="shared" si="11"/>
        <v>952551.3676522579</v>
      </c>
      <c r="P26" s="75">
        <v>7147</v>
      </c>
      <c r="Q26" s="75">
        <v>4834</v>
      </c>
      <c r="R26" s="75">
        <v>7100</v>
      </c>
      <c r="S26" s="75">
        <f t="shared" si="4"/>
        <v>5547.8734812799994</v>
      </c>
      <c r="T26" s="72">
        <f t="shared" si="5"/>
        <v>5547.8734812799994</v>
      </c>
      <c r="U26" s="75">
        <f t="shared" si="12"/>
        <v>1450.9822951039998</v>
      </c>
      <c r="V26" s="72">
        <v>7999</v>
      </c>
      <c r="W26" s="73">
        <f t="shared" si="13"/>
        <v>919389.55533264193</v>
      </c>
      <c r="X26" s="84">
        <f t="shared" si="14"/>
        <v>986630.22342864191</v>
      </c>
      <c r="Y26" s="32">
        <f t="shared" si="6"/>
        <v>723321.18399999989</v>
      </c>
      <c r="Z26" s="32">
        <f t="shared" si="7"/>
        <v>4701.5876959999996</v>
      </c>
      <c r="AA26" s="32">
        <f t="shared" si="8"/>
        <v>846.28578528000003</v>
      </c>
      <c r="AB26" s="32">
        <f t="shared" si="9"/>
        <v>5547.8734812799994</v>
      </c>
      <c r="AC26" s="31">
        <v>907685</v>
      </c>
      <c r="AD26" s="31">
        <v>977466</v>
      </c>
      <c r="AE26" s="32">
        <f t="shared" si="15"/>
        <v>-11704.555332641932</v>
      </c>
      <c r="AF26" s="32">
        <f t="shared" si="16"/>
        <v>-9164.2234286419116</v>
      </c>
    </row>
    <row r="27" spans="1:32" ht="21.6" customHeight="1">
      <c r="A27" s="223"/>
      <c r="B27" s="185"/>
      <c r="C27" s="71" t="s">
        <v>27</v>
      </c>
      <c r="D27" s="72">
        <v>765390.73</v>
      </c>
      <c r="E27" s="106">
        <f t="shared" si="17"/>
        <v>33483.542684962231</v>
      </c>
      <c r="F27" s="72">
        <f t="shared" si="0"/>
        <v>87376.839905999994</v>
      </c>
      <c r="G27" s="72">
        <v>600</v>
      </c>
      <c r="H27" s="72">
        <v>2999</v>
      </c>
      <c r="I27" s="73">
        <f t="shared" si="10"/>
        <v>889850.11259096221</v>
      </c>
      <c r="J27" s="72">
        <f t="shared" si="1"/>
        <v>765390.73</v>
      </c>
      <c r="K27" s="106">
        <f t="shared" si="2"/>
        <v>30828.542684962231</v>
      </c>
      <c r="L27" s="75">
        <f t="shared" si="3"/>
        <v>157639.70892</v>
      </c>
      <c r="M27" s="75">
        <v>600</v>
      </c>
      <c r="N27" s="72">
        <v>2999</v>
      </c>
      <c r="O27" s="73">
        <f t="shared" si="11"/>
        <v>957457.98160496226</v>
      </c>
      <c r="P27" s="75">
        <v>7147</v>
      </c>
      <c r="Q27" s="75">
        <v>4834</v>
      </c>
      <c r="R27" s="75">
        <v>7100</v>
      </c>
      <c r="S27" s="75">
        <f t="shared" si="4"/>
        <v>5577.0195541450003</v>
      </c>
      <c r="T27" s="72">
        <f t="shared" si="5"/>
        <v>5577.0195541450003</v>
      </c>
      <c r="U27" s="75">
        <f t="shared" si="12"/>
        <v>1458.6051141609998</v>
      </c>
      <c r="V27" s="72">
        <v>7999</v>
      </c>
      <c r="W27" s="73">
        <f t="shared" si="13"/>
        <v>923965.7372592683</v>
      </c>
      <c r="X27" s="84">
        <f t="shared" si="14"/>
        <v>991573.60627326835</v>
      </c>
      <c r="Y27" s="32">
        <f t="shared" si="6"/>
        <v>727121.19349999994</v>
      </c>
      <c r="Z27" s="32">
        <f t="shared" si="7"/>
        <v>4726.2877577500003</v>
      </c>
      <c r="AA27" s="32">
        <f t="shared" si="8"/>
        <v>850.73179639500017</v>
      </c>
      <c r="AB27" s="32">
        <f t="shared" si="9"/>
        <v>5577.0195541450003</v>
      </c>
      <c r="AC27" s="31">
        <v>912261</v>
      </c>
      <c r="AD27" s="31">
        <v>982409</v>
      </c>
      <c r="AE27" s="32">
        <f t="shared" si="15"/>
        <v>-11704.737259268295</v>
      </c>
      <c r="AF27" s="32">
        <f t="shared" si="16"/>
        <v>-9164.6062732683495</v>
      </c>
    </row>
    <row r="28" spans="1:32" ht="21.6" customHeight="1">
      <c r="A28" s="223"/>
      <c r="B28" s="185" t="s">
        <v>75</v>
      </c>
      <c r="C28" s="71" t="s">
        <v>26</v>
      </c>
      <c r="D28" s="72">
        <v>773211.73</v>
      </c>
      <c r="E28" s="106">
        <f t="shared" si="17"/>
        <v>33660.691631904781</v>
      </c>
      <c r="F28" s="72">
        <f t="shared" si="0"/>
        <v>88254.356105999992</v>
      </c>
      <c r="G28" s="72">
        <v>600</v>
      </c>
      <c r="H28" s="72">
        <v>2999</v>
      </c>
      <c r="I28" s="73">
        <f t="shared" si="10"/>
        <v>898725.77773790481</v>
      </c>
      <c r="J28" s="72">
        <f t="shared" si="1"/>
        <v>773211.73</v>
      </c>
      <c r="K28" s="106">
        <f t="shared" si="2"/>
        <v>31005.691631904778</v>
      </c>
      <c r="L28" s="75">
        <f t="shared" si="3"/>
        <v>159235.19292</v>
      </c>
      <c r="M28" s="75">
        <v>600</v>
      </c>
      <c r="N28" s="72">
        <v>2999</v>
      </c>
      <c r="O28" s="73">
        <f t="shared" si="11"/>
        <v>967051.61455190484</v>
      </c>
      <c r="P28" s="75">
        <v>7147</v>
      </c>
      <c r="Q28" s="75">
        <v>4834</v>
      </c>
      <c r="R28" s="75">
        <v>7100</v>
      </c>
      <c r="S28" s="75">
        <f t="shared" si="4"/>
        <v>5634.0072706449992</v>
      </c>
      <c r="T28" s="72">
        <f t="shared" si="5"/>
        <v>5634.0072706449992</v>
      </c>
      <c r="U28" s="75">
        <f t="shared" si="12"/>
        <v>1473.509593861</v>
      </c>
      <c r="V28" s="72">
        <v>7999</v>
      </c>
      <c r="W28" s="73">
        <f t="shared" si="13"/>
        <v>932913.29460241075</v>
      </c>
      <c r="X28" s="84">
        <f t="shared" si="14"/>
        <v>1001239.1314164108</v>
      </c>
      <c r="Y28" s="32">
        <f t="shared" si="6"/>
        <v>734551.14349999989</v>
      </c>
      <c r="Z28" s="32">
        <f t="shared" si="7"/>
        <v>4774.5824327499995</v>
      </c>
      <c r="AA28" s="32">
        <f t="shared" si="8"/>
        <v>859.424837895</v>
      </c>
      <c r="AB28" s="32">
        <f t="shared" si="9"/>
        <v>5634.0072706449992</v>
      </c>
      <c r="AC28" s="31">
        <v>921210</v>
      </c>
      <c r="AD28" s="31">
        <v>992076</v>
      </c>
      <c r="AE28" s="32">
        <f t="shared" si="15"/>
        <v>-11703.294602410751</v>
      </c>
      <c r="AF28" s="32">
        <f t="shared" si="16"/>
        <v>-9163.1314164107898</v>
      </c>
    </row>
    <row r="29" spans="1:32" ht="21.6" customHeight="1">
      <c r="A29" s="223"/>
      <c r="B29" s="185"/>
      <c r="C29" s="71" t="s">
        <v>27</v>
      </c>
      <c r="D29" s="72">
        <v>777211.73</v>
      </c>
      <c r="E29" s="106">
        <f t="shared" si="17"/>
        <v>33751.293318104777</v>
      </c>
      <c r="F29" s="72">
        <f t="shared" si="0"/>
        <v>88703.156105999995</v>
      </c>
      <c r="G29" s="72">
        <v>600</v>
      </c>
      <c r="H29" s="72">
        <v>2999</v>
      </c>
      <c r="I29" s="73">
        <f t="shared" si="10"/>
        <v>903265.17942410475</v>
      </c>
      <c r="J29" s="72">
        <f t="shared" si="1"/>
        <v>777211.73</v>
      </c>
      <c r="K29" s="106">
        <f t="shared" si="2"/>
        <v>31096.293318104774</v>
      </c>
      <c r="L29" s="75">
        <f t="shared" si="3"/>
        <v>160051.19292</v>
      </c>
      <c r="M29" s="75">
        <v>600</v>
      </c>
      <c r="N29" s="72">
        <v>2999</v>
      </c>
      <c r="O29" s="73">
        <f t="shared" si="11"/>
        <v>971958.21623810474</v>
      </c>
      <c r="P29" s="75">
        <v>7147</v>
      </c>
      <c r="Q29" s="75">
        <v>4834</v>
      </c>
      <c r="R29" s="75">
        <v>7100</v>
      </c>
      <c r="S29" s="75">
        <f t="shared" si="4"/>
        <v>5663.1532706449989</v>
      </c>
      <c r="T29" s="72">
        <f t="shared" si="5"/>
        <v>5663.1532706449989</v>
      </c>
      <c r="U29" s="75">
        <f t="shared" si="12"/>
        <v>1481.1323938610001</v>
      </c>
      <c r="V29" s="72">
        <v>7999</v>
      </c>
      <c r="W29" s="73">
        <f t="shared" si="13"/>
        <v>937489.46508861065</v>
      </c>
      <c r="X29" s="84">
        <f t="shared" si="14"/>
        <v>1006182.5019026106</v>
      </c>
      <c r="Y29" s="32">
        <f t="shared" si="6"/>
        <v>738351.14349999989</v>
      </c>
      <c r="Z29" s="32">
        <f t="shared" si="7"/>
        <v>4799.2824327499993</v>
      </c>
      <c r="AA29" s="32">
        <f t="shared" si="8"/>
        <v>863.87083789499991</v>
      </c>
      <c r="AB29" s="32">
        <f t="shared" si="9"/>
        <v>5663.1532706449989</v>
      </c>
      <c r="AC29" s="31">
        <v>925785</v>
      </c>
      <c r="AD29" s="31">
        <v>997018</v>
      </c>
      <c r="AE29" s="32">
        <f t="shared" si="15"/>
        <v>-11704.465088610654</v>
      </c>
      <c r="AF29" s="32">
        <f t="shared" si="16"/>
        <v>-9164.5019026106456</v>
      </c>
    </row>
    <row r="30" spans="1:32" ht="21.6" customHeight="1">
      <c r="A30" s="223"/>
      <c r="B30" s="185" t="s">
        <v>76</v>
      </c>
      <c r="C30" s="71" t="s">
        <v>26</v>
      </c>
      <c r="D30" s="72">
        <v>859914.71</v>
      </c>
      <c r="E30" s="106">
        <f t="shared" si="17"/>
        <v>35624.550678545995</v>
      </c>
      <c r="F30" s="72">
        <f t="shared" si="0"/>
        <v>97982.430461999989</v>
      </c>
      <c r="G30" s="72">
        <v>600</v>
      </c>
      <c r="H30" s="72">
        <v>2999</v>
      </c>
      <c r="I30" s="73">
        <f t="shared" si="10"/>
        <v>997120.69114054588</v>
      </c>
      <c r="J30" s="72">
        <f t="shared" si="1"/>
        <v>859914.71</v>
      </c>
      <c r="K30" s="106">
        <f t="shared" si="2"/>
        <v>32969.550678545995</v>
      </c>
      <c r="L30" s="75">
        <f t="shared" si="3"/>
        <v>176922.60083999997</v>
      </c>
      <c r="M30" s="75">
        <v>600</v>
      </c>
      <c r="N30" s="72">
        <v>2999</v>
      </c>
      <c r="O30" s="73">
        <f t="shared" si="11"/>
        <v>1073405.861518546</v>
      </c>
      <c r="P30" s="75">
        <v>7147</v>
      </c>
      <c r="Q30" s="75">
        <v>4834</v>
      </c>
      <c r="R30" s="75">
        <v>7100</v>
      </c>
      <c r="S30" s="75">
        <f t="shared" si="4"/>
        <v>6265.7685344150004</v>
      </c>
      <c r="T30" s="72">
        <f t="shared" si="5"/>
        <v>6265.7685344150004</v>
      </c>
      <c r="U30" s="75">
        <f t="shared" si="12"/>
        <v>1638.7394628469999</v>
      </c>
      <c r="V30" s="72">
        <v>7999</v>
      </c>
      <c r="W30" s="73">
        <f t="shared" si="13"/>
        <v>1032105.1991378079</v>
      </c>
      <c r="X30" s="84">
        <f t="shared" si="14"/>
        <v>1108390.3695158078</v>
      </c>
      <c r="Y30" s="32">
        <f t="shared" si="6"/>
        <v>816918.97450000001</v>
      </c>
      <c r="Z30" s="32">
        <f t="shared" si="7"/>
        <v>5309.9733342500003</v>
      </c>
      <c r="AA30" s="32">
        <f t="shared" si="8"/>
        <v>955.79520016499998</v>
      </c>
      <c r="AB30" s="32">
        <f t="shared" si="9"/>
        <v>6265.7685344150004</v>
      </c>
      <c r="AC30" s="31">
        <v>1020402</v>
      </c>
      <c r="AD30" s="31">
        <v>1099227</v>
      </c>
      <c r="AE30" s="32">
        <f t="shared" si="15"/>
        <v>-11703.19913780794</v>
      </c>
      <c r="AF30" s="32">
        <f t="shared" si="16"/>
        <v>-9163.3695158078335</v>
      </c>
    </row>
    <row r="31" spans="1:32" ht="21.6" customHeight="1" thickBot="1">
      <c r="A31" s="224"/>
      <c r="B31" s="186"/>
      <c r="C31" s="85" t="s">
        <v>27</v>
      </c>
      <c r="D31" s="86">
        <v>863914.7</v>
      </c>
      <c r="E31" s="106">
        <f t="shared" si="17"/>
        <v>35715.15213824177</v>
      </c>
      <c r="F31" s="86">
        <f t="shared" si="0"/>
        <v>98431.229340000005</v>
      </c>
      <c r="G31" s="86">
        <v>600</v>
      </c>
      <c r="H31" s="86">
        <v>2999</v>
      </c>
      <c r="I31" s="88">
        <f t="shared" si="10"/>
        <v>1001660.0814782417</v>
      </c>
      <c r="J31" s="86">
        <f t="shared" si="1"/>
        <v>863914.7</v>
      </c>
      <c r="K31" s="107">
        <f t="shared" si="2"/>
        <v>33060.15213824177</v>
      </c>
      <c r="L31" s="89">
        <f t="shared" si="3"/>
        <v>177738.59880000001</v>
      </c>
      <c r="M31" s="89">
        <v>600</v>
      </c>
      <c r="N31" s="86">
        <v>2999</v>
      </c>
      <c r="O31" s="88">
        <f t="shared" si="11"/>
        <v>1078312.4509382418</v>
      </c>
      <c r="P31" s="89">
        <v>7147</v>
      </c>
      <c r="Q31" s="89">
        <v>4834</v>
      </c>
      <c r="R31" s="89">
        <v>7100</v>
      </c>
      <c r="S31" s="89">
        <f t="shared" si="4"/>
        <v>6294.9144615499999</v>
      </c>
      <c r="T31" s="86">
        <f t="shared" si="5"/>
        <v>6294.9144615499999</v>
      </c>
      <c r="U31" s="89">
        <f t="shared" si="12"/>
        <v>1646.3622437899999</v>
      </c>
      <c r="V31" s="86">
        <v>7999</v>
      </c>
      <c r="W31" s="88">
        <f t="shared" si="13"/>
        <v>1036681.3581835816</v>
      </c>
      <c r="X31" s="101">
        <f t="shared" si="14"/>
        <v>1113333.7276435818</v>
      </c>
      <c r="Y31" s="32">
        <f t="shared" si="6"/>
        <v>820718.96499999997</v>
      </c>
      <c r="Z31" s="32">
        <f t="shared" si="7"/>
        <v>5334.6732725000002</v>
      </c>
      <c r="AA31" s="32">
        <f t="shared" si="8"/>
        <v>960.24118905000012</v>
      </c>
      <c r="AB31" s="32">
        <f t="shared" si="9"/>
        <v>6294.9144615499999</v>
      </c>
      <c r="AC31" s="31">
        <v>1024975</v>
      </c>
      <c r="AD31" s="31">
        <v>1104168</v>
      </c>
      <c r="AE31" s="32">
        <f t="shared" si="15"/>
        <v>-11706.358183581615</v>
      </c>
      <c r="AF31" s="32">
        <f t="shared" si="16"/>
        <v>-9165.7276435818058</v>
      </c>
    </row>
    <row r="32" spans="1:32" ht="12.75" customHeight="1" thickBot="1">
      <c r="E32" s="41"/>
      <c r="K32" s="41"/>
      <c r="Y32" s="32"/>
      <c r="Z32" s="32"/>
      <c r="AA32" s="32"/>
      <c r="AB32" s="32"/>
    </row>
    <row r="33" spans="1:28" ht="21.6" customHeight="1">
      <c r="A33" s="219" t="s">
        <v>77</v>
      </c>
      <c r="B33" s="184" t="s">
        <v>78</v>
      </c>
      <c r="C33" s="78" t="s">
        <v>26</v>
      </c>
      <c r="D33" s="79">
        <v>698581.77</v>
      </c>
      <c r="E33" s="105">
        <f>((D33*95%*3.283%)-((D33*95%*3.283%)*40%)+13434)+((D33*95%*3.283%)-((D33*95%*3.283%)*40%)+13434)*18%+(D33*95%*0.1%+250)+(D33*95%*0.1%+250)*18%-IF((((D33*95%*3.283%)-((D33*95%*3.283%)*40%))*2.5%)&gt;500,500,(((D33*95%*3.283%)-((D33*95%*3.283%)*40%))*2.5%))-IF((((D33*95%*3.283%)-((D33*95%*3.283%)*40%))*2.5%)&gt;500,500,(((D33*95%*3.283%)-((D33*95%*3.283%)*40%))*2.5%))*18%</f>
        <v>31970.291577645141</v>
      </c>
      <c r="F33" s="79">
        <f t="shared" ref="F33:F48" si="24">(D33*13/100)+(D33*13/100)*2/100+1500</f>
        <v>94131.942702</v>
      </c>
      <c r="G33" s="79">
        <v>600</v>
      </c>
      <c r="H33" s="79">
        <v>2999</v>
      </c>
      <c r="I33" s="80">
        <f>D33+E33+F33+H33+G33</f>
        <v>828283.00427964516</v>
      </c>
      <c r="J33" s="79">
        <f t="shared" ref="J33:J48" si="25">D33</f>
        <v>698581.77</v>
      </c>
      <c r="K33" s="105">
        <f t="shared" ref="K33:K48" si="26">((J33*95%*3.283%)-((J33*95%*3.283%)*40%)+11184)+((J33*95%*3.283%)-((J33*95%*3.283%)*40%)+11184)*18%+(J33*95%*0.1%+250)+(J33*95%*0.1%+250)*18%-IF((((J33*95%*3.283%)-((J33*95%*3.283%)*40%))*2.5%)&gt;500,500,(((J33*95%*3.283%)-((J33*95%*3.283%)*40%))*2.5%))-IF((((J33*95%*3.283%)-((J33*95%*3.283%)*40%))*2.5%)&gt;500,500,(((J33*95%*3.283%)-((J33*95%*3.283%)*40%))*2.5%))*18%</f>
        <v>29315.291577645141</v>
      </c>
      <c r="L33" s="82">
        <f t="shared" ref="L33:L48" si="27">(J33*20/100)+(J33*20/100)*2/100+1500</f>
        <v>144010.68107999998</v>
      </c>
      <c r="M33" s="82">
        <v>600</v>
      </c>
      <c r="N33" s="79">
        <v>2999</v>
      </c>
      <c r="O33" s="80">
        <f>J33+K33+L33+N33+M33</f>
        <v>875506.74265764514</v>
      </c>
      <c r="P33" s="82">
        <v>7514</v>
      </c>
      <c r="Q33" s="82">
        <v>4834</v>
      </c>
      <c r="R33" s="82">
        <v>7100</v>
      </c>
      <c r="S33" s="82">
        <f t="shared" ref="S33:S48" si="28">AB33</f>
        <v>5090.2160671050005</v>
      </c>
      <c r="T33" s="82">
        <f t="shared" ref="T33:T48" si="29">AB33</f>
        <v>5090.2160671050005</v>
      </c>
      <c r="U33" s="82">
        <f>((D33*95%)*0.17%)*1.18</f>
        <v>1331.2872790889999</v>
      </c>
      <c r="V33" s="82">
        <v>7999</v>
      </c>
      <c r="W33" s="80">
        <f t="shared" ref="W33" si="30">I33+P33+Q33+S33+V33+R33+U33</f>
        <v>862151.50762583909</v>
      </c>
      <c r="X33" s="83">
        <f t="shared" ref="X33" si="31">O33+P33+Q33+T33+V33+R33+U33</f>
        <v>909375.24600383907</v>
      </c>
      <c r="Y33" s="32">
        <f t="shared" ref="Y33:Y48" si="32">D33*95/100</f>
        <v>663652.68149999995</v>
      </c>
      <c r="Z33" s="32">
        <f t="shared" ref="Z33:Z48" si="33">Y33*0.65/100</f>
        <v>4313.7424297500002</v>
      </c>
      <c r="AA33" s="32">
        <f t="shared" ref="AA33:AA48" si="34">Z33*18/100</f>
        <v>776.47363735499994</v>
      </c>
      <c r="AB33" s="32">
        <f t="shared" ref="AB33:AB48" si="35">Z33+AA33</f>
        <v>5090.2160671050005</v>
      </c>
    </row>
    <row r="34" spans="1:28" ht="21.6" customHeight="1">
      <c r="A34" s="220"/>
      <c r="B34" s="185"/>
      <c r="C34" s="71" t="s">
        <v>27</v>
      </c>
      <c r="D34" s="72">
        <v>702581.76000000001</v>
      </c>
      <c r="E34" s="106">
        <f t="shared" ref="E34:E48" si="36">((D34*95%*3.283%)-((D34*95%*3.283%)*40%)+13434)+((D34*95%*3.283%)-((D34*95%*3.283%)*40%)+13434)*18%+(D34*95%*0.1%+250)+(D34*95%*0.1%+250)*18%-IF((((D34*95%*3.283%)-((D34*95%*3.283%)*40%))*2.5%)&gt;500,500,(((D34*95%*3.283%)-((D34*95%*3.283%)*40%))*2.5%))-IF((((D34*95%*3.283%)-((D34*95%*3.283%)*40%))*2.5%)&gt;500,500,(((D34*95%*3.283%)-((D34*95%*3.283%)*40%))*2.5%))*18%</f>
        <v>32060.893037340928</v>
      </c>
      <c r="F34" s="72">
        <f t="shared" si="24"/>
        <v>94662.341376000011</v>
      </c>
      <c r="G34" s="72">
        <v>600</v>
      </c>
      <c r="H34" s="72">
        <v>2999</v>
      </c>
      <c r="I34" s="73">
        <f t="shared" ref="I34:I48" si="37">D34+E34+F34+H34+G34</f>
        <v>832903.99441334093</v>
      </c>
      <c r="J34" s="72">
        <f t="shared" si="25"/>
        <v>702581.76000000001</v>
      </c>
      <c r="K34" s="106">
        <f t="shared" si="26"/>
        <v>29405.893037340928</v>
      </c>
      <c r="L34" s="75">
        <f t="shared" si="27"/>
        <v>144826.67903999999</v>
      </c>
      <c r="M34" s="75">
        <v>600</v>
      </c>
      <c r="N34" s="72">
        <v>2999</v>
      </c>
      <c r="O34" s="73">
        <f t="shared" ref="O34:O48" si="38">J34+K34+L34+N34+M34</f>
        <v>880413.33207734092</v>
      </c>
      <c r="P34" s="75">
        <v>7514</v>
      </c>
      <c r="Q34" s="75">
        <v>4834</v>
      </c>
      <c r="R34" s="75">
        <v>7100</v>
      </c>
      <c r="S34" s="75">
        <f t="shared" si="28"/>
        <v>5119.3619942400001</v>
      </c>
      <c r="T34" s="75">
        <f t="shared" si="29"/>
        <v>5119.3619942400001</v>
      </c>
      <c r="U34" s="75">
        <f t="shared" ref="U34:U48" si="39">((D34*95%)*0.17%)*1.18</f>
        <v>1338.910060032</v>
      </c>
      <c r="V34" s="75">
        <v>7999</v>
      </c>
      <c r="W34" s="73">
        <f t="shared" ref="W34:W48" si="40">I34+P34+Q34+S34+V34+R34+U34</f>
        <v>866809.26646761294</v>
      </c>
      <c r="X34" s="84">
        <f t="shared" ref="X34:X48" si="41">O34+P34+Q34+T34+V34+R34+U34</f>
        <v>914318.60413161293</v>
      </c>
      <c r="Y34" s="32">
        <f t="shared" si="32"/>
        <v>667452.67200000002</v>
      </c>
      <c r="Z34" s="32">
        <f t="shared" si="33"/>
        <v>4338.442368</v>
      </c>
      <c r="AA34" s="32">
        <f t="shared" si="34"/>
        <v>780.91962624000007</v>
      </c>
      <c r="AB34" s="32">
        <f t="shared" si="35"/>
        <v>5119.3619942400001</v>
      </c>
    </row>
    <row r="35" spans="1:28" ht="20.85" customHeight="1">
      <c r="A35" s="220"/>
      <c r="B35" s="185" t="s">
        <v>79</v>
      </c>
      <c r="C35" s="71" t="s">
        <v>26</v>
      </c>
      <c r="D35" s="72">
        <v>710441.77</v>
      </c>
      <c r="E35" s="106">
        <f t="shared" si="36"/>
        <v>32238.925577228139</v>
      </c>
      <c r="F35" s="72">
        <f t="shared" si="24"/>
        <v>95704.578701999999</v>
      </c>
      <c r="G35" s="72">
        <v>600</v>
      </c>
      <c r="H35" s="72">
        <v>2999</v>
      </c>
      <c r="I35" s="73">
        <f t="shared" si="37"/>
        <v>841984.27427922818</v>
      </c>
      <c r="J35" s="72">
        <f t="shared" si="25"/>
        <v>710441.77</v>
      </c>
      <c r="K35" s="106">
        <f t="shared" si="26"/>
        <v>29583.925577228139</v>
      </c>
      <c r="L35" s="75">
        <f t="shared" si="27"/>
        <v>146430.12107999998</v>
      </c>
      <c r="M35" s="75">
        <v>600</v>
      </c>
      <c r="N35" s="72">
        <v>2999</v>
      </c>
      <c r="O35" s="73">
        <f t="shared" si="38"/>
        <v>890054.81665722816</v>
      </c>
      <c r="P35" s="75">
        <v>7514</v>
      </c>
      <c r="Q35" s="75">
        <v>4834</v>
      </c>
      <c r="R35" s="75">
        <v>7100</v>
      </c>
      <c r="S35" s="75">
        <f t="shared" si="28"/>
        <v>5176.6339571050012</v>
      </c>
      <c r="T35" s="75">
        <f t="shared" si="29"/>
        <v>5176.6339571050012</v>
      </c>
      <c r="U35" s="75">
        <f t="shared" si="39"/>
        <v>1353.8888810889998</v>
      </c>
      <c r="V35" s="75">
        <v>7999</v>
      </c>
      <c r="W35" s="73">
        <f t="shared" si="40"/>
        <v>875961.79711742222</v>
      </c>
      <c r="X35" s="84">
        <f t="shared" si="41"/>
        <v>924032.3394954222</v>
      </c>
      <c r="Y35" s="39">
        <f t="shared" si="32"/>
        <v>674919.68150000006</v>
      </c>
      <c r="Z35" s="39">
        <f t="shared" si="33"/>
        <v>4386.9779297500008</v>
      </c>
      <c r="AA35" s="32">
        <f t="shared" si="34"/>
        <v>789.65602735500011</v>
      </c>
      <c r="AB35" s="39">
        <f t="shared" si="35"/>
        <v>5176.6339571050012</v>
      </c>
    </row>
    <row r="36" spans="1:28" ht="20.85" customHeight="1">
      <c r="A36" s="220"/>
      <c r="B36" s="185"/>
      <c r="C36" s="71" t="s">
        <v>27</v>
      </c>
      <c r="D36" s="72">
        <v>714441.75</v>
      </c>
      <c r="E36" s="106">
        <f t="shared" si="36"/>
        <v>32329.526810419709</v>
      </c>
      <c r="F36" s="72">
        <f t="shared" si="24"/>
        <v>96234.976050000012</v>
      </c>
      <c r="G36" s="72">
        <v>600</v>
      </c>
      <c r="H36" s="72">
        <v>2999</v>
      </c>
      <c r="I36" s="73">
        <f t="shared" si="37"/>
        <v>846605.2528604198</v>
      </c>
      <c r="J36" s="72">
        <f t="shared" si="25"/>
        <v>714441.75</v>
      </c>
      <c r="K36" s="106">
        <f t="shared" si="26"/>
        <v>29674.526810419709</v>
      </c>
      <c r="L36" s="75">
        <f t="shared" si="27"/>
        <v>147246.117</v>
      </c>
      <c r="M36" s="75">
        <v>600</v>
      </c>
      <c r="N36" s="72">
        <v>2999</v>
      </c>
      <c r="O36" s="73">
        <f t="shared" si="38"/>
        <v>894961.39381041972</v>
      </c>
      <c r="P36" s="75">
        <v>7514</v>
      </c>
      <c r="Q36" s="75">
        <v>4834</v>
      </c>
      <c r="R36" s="75">
        <v>7100</v>
      </c>
      <c r="S36" s="75">
        <f t="shared" si="28"/>
        <v>5205.7798113749996</v>
      </c>
      <c r="T36" s="75">
        <f t="shared" si="29"/>
        <v>5205.7798113749996</v>
      </c>
      <c r="U36" s="75">
        <f t="shared" si="39"/>
        <v>1361.5116429749999</v>
      </c>
      <c r="V36" s="75">
        <v>7999</v>
      </c>
      <c r="W36" s="73">
        <f t="shared" si="40"/>
        <v>880619.5443147698</v>
      </c>
      <c r="X36" s="84">
        <f t="shared" si="41"/>
        <v>928975.68526476971</v>
      </c>
      <c r="Y36" s="32">
        <f t="shared" si="32"/>
        <v>678719.66249999998</v>
      </c>
      <c r="Z36" s="32">
        <f t="shared" si="33"/>
        <v>4411.6778062499998</v>
      </c>
      <c r="AA36" s="32">
        <f t="shared" si="34"/>
        <v>794.10200512500001</v>
      </c>
      <c r="AB36" s="32">
        <f t="shared" si="35"/>
        <v>5205.7798113749996</v>
      </c>
    </row>
    <row r="37" spans="1:28" ht="21.6" customHeight="1">
      <c r="A37" s="220"/>
      <c r="B37" s="185" t="s">
        <v>80</v>
      </c>
      <c r="C37" s="71" t="s">
        <v>26</v>
      </c>
      <c r="D37" s="72">
        <v>774174.71999999997</v>
      </c>
      <c r="E37" s="106">
        <f t="shared" si="36"/>
        <v>33682.503761353226</v>
      </c>
      <c r="F37" s="72">
        <f t="shared" si="24"/>
        <v>104155.56787199999</v>
      </c>
      <c r="G37" s="72">
        <v>600</v>
      </c>
      <c r="H37" s="72">
        <v>2999</v>
      </c>
      <c r="I37" s="73">
        <f t="shared" si="37"/>
        <v>915611.7916333531</v>
      </c>
      <c r="J37" s="72">
        <f t="shared" si="25"/>
        <v>774174.71999999997</v>
      </c>
      <c r="K37" s="106">
        <f t="shared" si="26"/>
        <v>31027.503761353211</v>
      </c>
      <c r="L37" s="75">
        <f t="shared" si="27"/>
        <v>159431.64288</v>
      </c>
      <c r="M37" s="75">
        <v>600</v>
      </c>
      <c r="N37" s="72">
        <v>2999</v>
      </c>
      <c r="O37" s="73">
        <f t="shared" si="38"/>
        <v>968232.86664135312</v>
      </c>
      <c r="P37" s="75">
        <v>7514</v>
      </c>
      <c r="Q37" s="75">
        <v>4834</v>
      </c>
      <c r="R37" s="75">
        <v>7100</v>
      </c>
      <c r="S37" s="75">
        <f t="shared" si="28"/>
        <v>5641.0240972800002</v>
      </c>
      <c r="T37" s="75">
        <f t="shared" si="29"/>
        <v>5641.0240972800002</v>
      </c>
      <c r="U37" s="75">
        <f t="shared" si="39"/>
        <v>1475.3447639039998</v>
      </c>
      <c r="V37" s="75">
        <v>7999</v>
      </c>
      <c r="W37" s="73">
        <f t="shared" si="40"/>
        <v>950175.16049453709</v>
      </c>
      <c r="X37" s="84">
        <f t="shared" si="41"/>
        <v>1002796.2355025371</v>
      </c>
      <c r="Y37" s="32">
        <f t="shared" si="32"/>
        <v>735465.98399999994</v>
      </c>
      <c r="Z37" s="32">
        <f t="shared" si="33"/>
        <v>4780.5288959999998</v>
      </c>
      <c r="AA37" s="32">
        <f t="shared" si="34"/>
        <v>860.49520128000006</v>
      </c>
      <c r="AB37" s="32">
        <f t="shared" si="35"/>
        <v>5641.0240972800002</v>
      </c>
    </row>
    <row r="38" spans="1:28" ht="21.6" customHeight="1">
      <c r="A38" s="220"/>
      <c r="B38" s="185"/>
      <c r="C38" s="71" t="s">
        <v>27</v>
      </c>
      <c r="D38" s="72">
        <v>778174.76</v>
      </c>
      <c r="E38" s="106">
        <f t="shared" si="36"/>
        <v>33773.106353570081</v>
      </c>
      <c r="F38" s="72">
        <f t="shared" si="24"/>
        <v>104685.973176</v>
      </c>
      <c r="G38" s="72">
        <v>600</v>
      </c>
      <c r="H38" s="72">
        <v>2999</v>
      </c>
      <c r="I38" s="73">
        <f t="shared" si="37"/>
        <v>920232.83952957019</v>
      </c>
      <c r="J38" s="72">
        <f t="shared" si="25"/>
        <v>778174.76</v>
      </c>
      <c r="K38" s="106">
        <f t="shared" si="26"/>
        <v>31118.106353570074</v>
      </c>
      <c r="L38" s="75">
        <f t="shared" si="27"/>
        <v>160247.65104</v>
      </c>
      <c r="M38" s="75">
        <v>600</v>
      </c>
      <c r="N38" s="72">
        <v>2999</v>
      </c>
      <c r="O38" s="73">
        <f t="shared" si="38"/>
        <v>973139.51739357016</v>
      </c>
      <c r="P38" s="75">
        <v>7514</v>
      </c>
      <c r="Q38" s="75">
        <v>4834</v>
      </c>
      <c r="R38" s="75">
        <v>7100</v>
      </c>
      <c r="S38" s="75">
        <f t="shared" si="28"/>
        <v>5670.1703887400008</v>
      </c>
      <c r="T38" s="75">
        <f t="shared" si="29"/>
        <v>5670.1703887400008</v>
      </c>
      <c r="U38" s="75">
        <f t="shared" si="39"/>
        <v>1482.967640132</v>
      </c>
      <c r="V38" s="75">
        <v>7999</v>
      </c>
      <c r="W38" s="73">
        <f t="shared" si="40"/>
        <v>954832.97755844216</v>
      </c>
      <c r="X38" s="84">
        <f t="shared" si="41"/>
        <v>1007739.6554224421</v>
      </c>
      <c r="Y38" s="32">
        <f t="shared" si="32"/>
        <v>739266.022</v>
      </c>
      <c r="Z38" s="32">
        <f t="shared" si="33"/>
        <v>4805.2291430000005</v>
      </c>
      <c r="AA38" s="32">
        <f t="shared" si="34"/>
        <v>864.94124574000011</v>
      </c>
      <c r="AB38" s="32">
        <f t="shared" si="35"/>
        <v>5670.1703887400008</v>
      </c>
    </row>
    <row r="39" spans="1:28" ht="21.6" customHeight="1">
      <c r="A39" s="220"/>
      <c r="B39" s="185" t="s">
        <v>81</v>
      </c>
      <c r="C39" s="71" t="s">
        <v>26</v>
      </c>
      <c r="D39" s="72">
        <v>786030.73</v>
      </c>
      <c r="E39" s="106">
        <f t="shared" si="36"/>
        <v>33951.047385754231</v>
      </c>
      <c r="F39" s="72">
        <f t="shared" si="24"/>
        <v>105727.67479800001</v>
      </c>
      <c r="G39" s="72">
        <v>600</v>
      </c>
      <c r="H39" s="72">
        <v>2999</v>
      </c>
      <c r="I39" s="73">
        <f t="shared" si="37"/>
        <v>929308.45218375418</v>
      </c>
      <c r="J39" s="72">
        <f t="shared" si="25"/>
        <v>786030.73</v>
      </c>
      <c r="K39" s="106">
        <f t="shared" si="26"/>
        <v>31296.047385754227</v>
      </c>
      <c r="L39" s="75">
        <f t="shared" si="27"/>
        <v>161850.26892</v>
      </c>
      <c r="M39" s="75">
        <v>600</v>
      </c>
      <c r="N39" s="72">
        <v>2999</v>
      </c>
      <c r="O39" s="73">
        <f t="shared" si="38"/>
        <v>982776.04630575422</v>
      </c>
      <c r="P39" s="75">
        <v>7514</v>
      </c>
      <c r="Q39" s="75">
        <v>4834</v>
      </c>
      <c r="R39" s="75">
        <v>7100</v>
      </c>
      <c r="S39" s="75">
        <f t="shared" si="28"/>
        <v>5727.4129141449994</v>
      </c>
      <c r="T39" s="75">
        <f t="shared" si="29"/>
        <v>5727.4129141449994</v>
      </c>
      <c r="U39" s="75">
        <f t="shared" si="39"/>
        <v>1497.9387621609999</v>
      </c>
      <c r="V39" s="75">
        <v>7999</v>
      </c>
      <c r="W39" s="73">
        <f t="shared" si="40"/>
        <v>963980.80386006017</v>
      </c>
      <c r="X39" s="84">
        <f t="shared" si="41"/>
        <v>1017448.3979820602</v>
      </c>
      <c r="Y39" s="32">
        <f t="shared" si="32"/>
        <v>746729.19349999994</v>
      </c>
      <c r="Z39" s="32">
        <f t="shared" si="33"/>
        <v>4853.7397577499996</v>
      </c>
      <c r="AA39" s="32">
        <f t="shared" si="34"/>
        <v>873.67315639499998</v>
      </c>
      <c r="AB39" s="32">
        <f t="shared" si="35"/>
        <v>5727.4129141449994</v>
      </c>
    </row>
    <row r="40" spans="1:28" ht="21.6" customHeight="1">
      <c r="A40" s="220"/>
      <c r="B40" s="185"/>
      <c r="C40" s="71" t="s">
        <v>27</v>
      </c>
      <c r="D40" s="72">
        <v>790030.73</v>
      </c>
      <c r="E40" s="106">
        <f t="shared" si="36"/>
        <v>34041.64907195422</v>
      </c>
      <c r="F40" s="72">
        <f t="shared" si="24"/>
        <v>106258.074798</v>
      </c>
      <c r="G40" s="72">
        <v>600</v>
      </c>
      <c r="H40" s="72">
        <v>2999</v>
      </c>
      <c r="I40" s="73">
        <f t="shared" si="37"/>
        <v>933929.45386995422</v>
      </c>
      <c r="J40" s="72">
        <f t="shared" si="25"/>
        <v>790030.73</v>
      </c>
      <c r="K40" s="106">
        <f t="shared" si="26"/>
        <v>31386.649071954231</v>
      </c>
      <c r="L40" s="75">
        <f t="shared" si="27"/>
        <v>162666.26892</v>
      </c>
      <c r="M40" s="75">
        <v>600</v>
      </c>
      <c r="N40" s="72">
        <v>2999</v>
      </c>
      <c r="O40" s="73">
        <f t="shared" si="38"/>
        <v>987682.64799195412</v>
      </c>
      <c r="P40" s="75">
        <v>7514</v>
      </c>
      <c r="Q40" s="75">
        <v>4834</v>
      </c>
      <c r="R40" s="75">
        <v>7100</v>
      </c>
      <c r="S40" s="75">
        <f t="shared" si="28"/>
        <v>5756.558914145</v>
      </c>
      <c r="T40" s="75">
        <f t="shared" si="29"/>
        <v>5756.558914145</v>
      </c>
      <c r="U40" s="75">
        <f t="shared" si="39"/>
        <v>1505.561562161</v>
      </c>
      <c r="V40" s="75">
        <v>7999</v>
      </c>
      <c r="W40" s="73">
        <f t="shared" si="40"/>
        <v>968638.57434626017</v>
      </c>
      <c r="X40" s="84">
        <f t="shared" si="41"/>
        <v>1022391.7684682601</v>
      </c>
      <c r="Y40" s="32">
        <f t="shared" si="32"/>
        <v>750529.19349999994</v>
      </c>
      <c r="Z40" s="32">
        <f t="shared" si="33"/>
        <v>4878.4397577500004</v>
      </c>
      <c r="AA40" s="32">
        <f t="shared" si="34"/>
        <v>878.119156395</v>
      </c>
      <c r="AB40" s="32">
        <f t="shared" si="35"/>
        <v>5756.558914145</v>
      </c>
    </row>
    <row r="41" spans="1:28" ht="21.6" customHeight="1">
      <c r="A41" s="220"/>
      <c r="B41" s="247" t="s">
        <v>132</v>
      </c>
      <c r="C41" s="71" t="s">
        <v>26</v>
      </c>
      <c r="D41" s="72">
        <v>796030.72</v>
      </c>
      <c r="E41" s="106">
        <f t="shared" si="36"/>
        <v>34177.551374750023</v>
      </c>
      <c r="F41" s="72">
        <f t="shared" si="24"/>
        <v>107053.67347199998</v>
      </c>
      <c r="G41" s="72">
        <v>600</v>
      </c>
      <c r="H41" s="72">
        <v>2999</v>
      </c>
      <c r="I41" s="73">
        <f t="shared" si="37"/>
        <v>940860.94484674989</v>
      </c>
      <c r="J41" s="72">
        <f>D41</f>
        <v>796030.72</v>
      </c>
      <c r="K41" s="106">
        <f t="shared" si="26"/>
        <v>31522.551374750012</v>
      </c>
      <c r="L41" s="75">
        <f t="shared" si="27"/>
        <v>163890.26687999998</v>
      </c>
      <c r="M41" s="75">
        <v>600</v>
      </c>
      <c r="N41" s="72">
        <v>2999</v>
      </c>
      <c r="O41" s="73">
        <f t="shared" si="38"/>
        <v>995042.53825474996</v>
      </c>
      <c r="P41" s="75">
        <v>7514</v>
      </c>
      <c r="Q41" s="75">
        <v>4834</v>
      </c>
      <c r="R41" s="75">
        <v>7100</v>
      </c>
      <c r="S41" s="75">
        <f>AB41</f>
        <v>5800.2778412799998</v>
      </c>
      <c r="T41" s="75">
        <f>AB41</f>
        <v>5800.2778412799998</v>
      </c>
      <c r="U41" s="75">
        <f t="shared" si="39"/>
        <v>1516.9957431039998</v>
      </c>
      <c r="V41" s="75">
        <v>7999</v>
      </c>
      <c r="W41" s="73">
        <f t="shared" si="40"/>
        <v>975625.21843113389</v>
      </c>
      <c r="X41" s="84">
        <f t="shared" si="41"/>
        <v>1029806.811839134</v>
      </c>
      <c r="Y41" s="32">
        <f>D41*95/100</f>
        <v>756229.18399999989</v>
      </c>
      <c r="Z41" s="32">
        <f>Y41*0.65/100</f>
        <v>4915.4896959999996</v>
      </c>
      <c r="AA41" s="32">
        <f>Z41*18/100</f>
        <v>884.78814527999987</v>
      </c>
      <c r="AB41" s="32">
        <f>Z41+AA41</f>
        <v>5800.2778412799998</v>
      </c>
    </row>
    <row r="42" spans="1:28" ht="21.6" customHeight="1">
      <c r="A42" s="220"/>
      <c r="B42" s="247"/>
      <c r="C42" s="71" t="s">
        <v>27</v>
      </c>
      <c r="D42" s="72">
        <v>800030.71999999997</v>
      </c>
      <c r="E42" s="106">
        <f t="shared" si="36"/>
        <v>34268.153060950011</v>
      </c>
      <c r="F42" s="72">
        <f t="shared" si="24"/>
        <v>107584.07347199999</v>
      </c>
      <c r="G42" s="72">
        <v>600</v>
      </c>
      <c r="H42" s="72">
        <v>2999</v>
      </c>
      <c r="I42" s="73">
        <f t="shared" si="37"/>
        <v>945481.94653294992</v>
      </c>
      <c r="J42" s="72">
        <f>D42</f>
        <v>800030.71999999997</v>
      </c>
      <c r="K42" s="106">
        <f t="shared" si="26"/>
        <v>31613.153060950011</v>
      </c>
      <c r="L42" s="75">
        <f t="shared" si="27"/>
        <v>164706.26687999998</v>
      </c>
      <c r="M42" s="75">
        <v>600</v>
      </c>
      <c r="N42" s="72">
        <v>2999</v>
      </c>
      <c r="O42" s="73">
        <f t="shared" si="38"/>
        <v>999949.13994094997</v>
      </c>
      <c r="P42" s="75">
        <v>7514</v>
      </c>
      <c r="Q42" s="75">
        <v>4834</v>
      </c>
      <c r="R42" s="75">
        <v>7100</v>
      </c>
      <c r="S42" s="75">
        <f>AB42</f>
        <v>5829.4238412799996</v>
      </c>
      <c r="T42" s="75">
        <f>AB42</f>
        <v>5829.4238412799996</v>
      </c>
      <c r="U42" s="75">
        <f t="shared" si="39"/>
        <v>1524.6185431039999</v>
      </c>
      <c r="V42" s="75">
        <v>7999</v>
      </c>
      <c r="W42" s="73">
        <f t="shared" si="40"/>
        <v>980282.98891733401</v>
      </c>
      <c r="X42" s="84">
        <f t="shared" si="41"/>
        <v>1034750.1823253341</v>
      </c>
      <c r="Y42" s="32">
        <f>D42*95/100</f>
        <v>760029.18399999989</v>
      </c>
      <c r="Z42" s="32">
        <f>Y42*0.65/100</f>
        <v>4940.1896959999995</v>
      </c>
      <c r="AA42" s="32">
        <f>Z42*18/100</f>
        <v>889.23414527999989</v>
      </c>
      <c r="AB42" s="32">
        <f>Z42+AA42</f>
        <v>5829.4238412799996</v>
      </c>
    </row>
    <row r="43" spans="1:28" ht="21.6" customHeight="1">
      <c r="A43" s="220"/>
      <c r="B43" s="247" t="s">
        <v>140</v>
      </c>
      <c r="C43" s="71" t="s">
        <v>26</v>
      </c>
      <c r="D43" s="72">
        <v>796030.72</v>
      </c>
      <c r="E43" s="106">
        <f t="shared" si="36"/>
        <v>34177.551374750023</v>
      </c>
      <c r="F43" s="72">
        <f t="shared" si="24"/>
        <v>107053.67347199998</v>
      </c>
      <c r="G43" s="72">
        <v>600</v>
      </c>
      <c r="H43" s="72">
        <v>2999</v>
      </c>
      <c r="I43" s="73">
        <f t="shared" ref="I43:I44" si="42">D43+E43+F43+H43+G43</f>
        <v>940860.94484674989</v>
      </c>
      <c r="J43" s="72">
        <f t="shared" ref="J43:J44" si="43">D43</f>
        <v>796030.72</v>
      </c>
      <c r="K43" s="106">
        <f t="shared" si="26"/>
        <v>31522.551374750012</v>
      </c>
      <c r="L43" s="75">
        <f t="shared" si="27"/>
        <v>163890.26687999998</v>
      </c>
      <c r="M43" s="75">
        <v>600</v>
      </c>
      <c r="N43" s="72">
        <v>2999</v>
      </c>
      <c r="O43" s="73">
        <f t="shared" ref="O43:O44" si="44">J43+K43+L43+N43+M43</f>
        <v>995042.53825474996</v>
      </c>
      <c r="P43" s="75">
        <v>7514</v>
      </c>
      <c r="Q43" s="75">
        <v>4834</v>
      </c>
      <c r="R43" s="75">
        <v>7100</v>
      </c>
      <c r="S43" s="75">
        <f t="shared" ref="S43:S44" si="45">AB43</f>
        <v>5800.2778412799998</v>
      </c>
      <c r="T43" s="75">
        <f t="shared" ref="T43:T44" si="46">AB43</f>
        <v>5800.2778412799998</v>
      </c>
      <c r="U43" s="75">
        <f t="shared" ref="U43:U44" si="47">((D43*95%)*0.17%)*1.18</f>
        <v>1516.9957431039998</v>
      </c>
      <c r="V43" s="75">
        <v>7999</v>
      </c>
      <c r="W43" s="73">
        <f t="shared" si="40"/>
        <v>975625.21843113389</v>
      </c>
      <c r="X43" s="84">
        <f t="shared" si="41"/>
        <v>1029806.811839134</v>
      </c>
      <c r="Y43" s="32">
        <f t="shared" ref="Y43:Y44" si="48">D43*95/100</f>
        <v>756229.18399999989</v>
      </c>
      <c r="Z43" s="32">
        <f t="shared" ref="Z43:Z44" si="49">Y43*0.65/100</f>
        <v>4915.4896959999996</v>
      </c>
      <c r="AA43" s="32">
        <f t="shared" ref="AA43:AA44" si="50">Z43*18/100</f>
        <v>884.78814527999987</v>
      </c>
      <c r="AB43" s="32">
        <f t="shared" ref="AB43:AB44" si="51">Z43+AA43</f>
        <v>5800.2778412799998</v>
      </c>
    </row>
    <row r="44" spans="1:28" ht="21.6" customHeight="1">
      <c r="A44" s="220"/>
      <c r="B44" s="247"/>
      <c r="C44" s="71" t="s">
        <v>27</v>
      </c>
      <c r="D44" s="72">
        <v>800030.71999999997</v>
      </c>
      <c r="E44" s="106">
        <f t="shared" si="36"/>
        <v>34268.153060950011</v>
      </c>
      <c r="F44" s="72">
        <f t="shared" si="24"/>
        <v>107584.07347199999</v>
      </c>
      <c r="G44" s="72">
        <v>600</v>
      </c>
      <c r="H44" s="72">
        <v>2999</v>
      </c>
      <c r="I44" s="73">
        <f t="shared" si="42"/>
        <v>945481.94653294992</v>
      </c>
      <c r="J44" s="72">
        <f t="shared" si="43"/>
        <v>800030.71999999997</v>
      </c>
      <c r="K44" s="106">
        <f t="shared" si="26"/>
        <v>31613.153060950011</v>
      </c>
      <c r="L44" s="75">
        <f t="shared" si="27"/>
        <v>164706.26687999998</v>
      </c>
      <c r="M44" s="75">
        <v>600</v>
      </c>
      <c r="N44" s="72">
        <v>2999</v>
      </c>
      <c r="O44" s="73">
        <f t="shared" si="44"/>
        <v>999949.13994094997</v>
      </c>
      <c r="P44" s="75">
        <v>7514</v>
      </c>
      <c r="Q44" s="75">
        <v>4834</v>
      </c>
      <c r="R44" s="75">
        <v>7100</v>
      </c>
      <c r="S44" s="75">
        <f t="shared" si="45"/>
        <v>5829.4238412799996</v>
      </c>
      <c r="T44" s="75">
        <f t="shared" si="46"/>
        <v>5829.4238412799996</v>
      </c>
      <c r="U44" s="75">
        <f t="shared" si="47"/>
        <v>1524.6185431039999</v>
      </c>
      <c r="V44" s="75">
        <v>7999</v>
      </c>
      <c r="W44" s="73">
        <f t="shared" si="40"/>
        <v>980282.98891733401</v>
      </c>
      <c r="X44" s="84">
        <f t="shared" si="41"/>
        <v>1034750.1823253341</v>
      </c>
      <c r="Y44" s="32">
        <f t="shared" si="48"/>
        <v>760029.18399999989</v>
      </c>
      <c r="Z44" s="32">
        <f t="shared" si="49"/>
        <v>4940.1896959999995</v>
      </c>
      <c r="AA44" s="32">
        <f t="shared" si="50"/>
        <v>889.23414527999989</v>
      </c>
      <c r="AB44" s="32">
        <f t="shared" si="51"/>
        <v>5829.4238412799996</v>
      </c>
    </row>
    <row r="45" spans="1:28" ht="21.6" customHeight="1">
      <c r="A45" s="220"/>
      <c r="B45" s="185" t="s">
        <v>82</v>
      </c>
      <c r="C45" s="71" t="s">
        <v>26</v>
      </c>
      <c r="D45" s="72">
        <v>825851.7</v>
      </c>
      <c r="E45" s="106">
        <f t="shared" si="36"/>
        <v>34853.009142784133</v>
      </c>
      <c r="F45" s="72">
        <f t="shared" si="24"/>
        <v>111007.93541999999</v>
      </c>
      <c r="G45" s="72">
        <v>600</v>
      </c>
      <c r="H45" s="72">
        <v>2999</v>
      </c>
      <c r="I45" s="73">
        <f t="shared" si="37"/>
        <v>975311.64456278412</v>
      </c>
      <c r="J45" s="72">
        <f t="shared" si="25"/>
        <v>825851.7</v>
      </c>
      <c r="K45" s="106">
        <f t="shared" si="26"/>
        <v>32198.009142784133</v>
      </c>
      <c r="L45" s="75">
        <f t="shared" si="27"/>
        <v>169973.74679999999</v>
      </c>
      <c r="M45" s="75">
        <v>600</v>
      </c>
      <c r="N45" s="72">
        <v>2999</v>
      </c>
      <c r="O45" s="73">
        <f t="shared" si="38"/>
        <v>1031622.4559427841</v>
      </c>
      <c r="P45" s="75">
        <v>7514</v>
      </c>
      <c r="Q45" s="75">
        <v>4834</v>
      </c>
      <c r="R45" s="75">
        <v>7100</v>
      </c>
      <c r="S45" s="75">
        <f t="shared" si="28"/>
        <v>6017.56841205</v>
      </c>
      <c r="T45" s="75">
        <f t="shared" si="29"/>
        <v>6017.56841205</v>
      </c>
      <c r="U45" s="75">
        <f t="shared" si="39"/>
        <v>1573.8255846899999</v>
      </c>
      <c r="V45" s="75">
        <v>7999</v>
      </c>
      <c r="W45" s="73">
        <f t="shared" si="40"/>
        <v>1010350.0385595241</v>
      </c>
      <c r="X45" s="84">
        <f t="shared" si="41"/>
        <v>1066660.8499395242</v>
      </c>
      <c r="Y45" s="32">
        <f t="shared" si="32"/>
        <v>784559.11499999999</v>
      </c>
      <c r="Z45" s="32">
        <f t="shared" si="33"/>
        <v>5099.6342475000001</v>
      </c>
      <c r="AA45" s="32">
        <f t="shared" si="34"/>
        <v>917.93416454999999</v>
      </c>
      <c r="AB45" s="32">
        <f t="shared" si="35"/>
        <v>6017.56841205</v>
      </c>
    </row>
    <row r="46" spans="1:28" ht="21.6" customHeight="1">
      <c r="A46" s="220"/>
      <c r="B46" s="185"/>
      <c r="C46" s="71" t="s">
        <v>27</v>
      </c>
      <c r="D46" s="72">
        <v>829851.72</v>
      </c>
      <c r="E46" s="106">
        <f t="shared" si="36"/>
        <v>34943.611281992555</v>
      </c>
      <c r="F46" s="72">
        <f t="shared" si="24"/>
        <v>111538.338072</v>
      </c>
      <c r="G46" s="72">
        <v>600</v>
      </c>
      <c r="H46" s="72">
        <v>2999</v>
      </c>
      <c r="I46" s="73">
        <f t="shared" si="37"/>
        <v>979932.66935399245</v>
      </c>
      <c r="J46" s="72">
        <f t="shared" si="25"/>
        <v>829851.72</v>
      </c>
      <c r="K46" s="106">
        <f t="shared" si="26"/>
        <v>32288.611281992562</v>
      </c>
      <c r="L46" s="75">
        <f t="shared" si="27"/>
        <v>170789.75087999998</v>
      </c>
      <c r="M46" s="75">
        <v>600</v>
      </c>
      <c r="N46" s="72">
        <v>2999</v>
      </c>
      <c r="O46" s="73">
        <f t="shared" si="38"/>
        <v>1036529.0821619924</v>
      </c>
      <c r="P46" s="75">
        <v>7514</v>
      </c>
      <c r="Q46" s="75">
        <v>4834</v>
      </c>
      <c r="R46" s="75">
        <v>7100</v>
      </c>
      <c r="S46" s="75">
        <f t="shared" si="28"/>
        <v>6046.7145577800002</v>
      </c>
      <c r="T46" s="75">
        <f t="shared" si="29"/>
        <v>6046.7145577800002</v>
      </c>
      <c r="U46" s="75">
        <f t="shared" si="39"/>
        <v>1581.4484228040001</v>
      </c>
      <c r="V46" s="75">
        <v>7999</v>
      </c>
      <c r="W46" s="73">
        <f t="shared" si="40"/>
        <v>1015007.8323345764</v>
      </c>
      <c r="X46" s="84">
        <f t="shared" si="41"/>
        <v>1071604.2451425763</v>
      </c>
      <c r="Y46" s="32">
        <f t="shared" si="32"/>
        <v>788359.13399999996</v>
      </c>
      <c r="Z46" s="32">
        <f t="shared" si="33"/>
        <v>5124.3343709999999</v>
      </c>
      <c r="AA46" s="32">
        <f t="shared" si="34"/>
        <v>922.38018677999992</v>
      </c>
      <c r="AB46" s="32">
        <f t="shared" si="35"/>
        <v>6046.7145577800002</v>
      </c>
    </row>
    <row r="47" spans="1:28" ht="21.6" customHeight="1">
      <c r="A47" s="220"/>
      <c r="B47" s="185" t="s">
        <v>83</v>
      </c>
      <c r="C47" s="71" t="s">
        <v>26</v>
      </c>
      <c r="D47" s="72">
        <v>861324.7</v>
      </c>
      <c r="E47" s="106">
        <f t="shared" si="36"/>
        <v>35656.487546427277</v>
      </c>
      <c r="F47" s="72">
        <f t="shared" si="24"/>
        <v>115711.65522</v>
      </c>
      <c r="G47" s="72">
        <v>600</v>
      </c>
      <c r="H47" s="72">
        <v>2999</v>
      </c>
      <c r="I47" s="73">
        <f t="shared" si="37"/>
        <v>1016291.8427664272</v>
      </c>
      <c r="J47" s="72">
        <f t="shared" si="25"/>
        <v>861324.7</v>
      </c>
      <c r="K47" s="106">
        <f t="shared" si="26"/>
        <v>33001.487546427277</v>
      </c>
      <c r="L47" s="75">
        <f t="shared" si="27"/>
        <v>177210.23879999999</v>
      </c>
      <c r="M47" s="75">
        <v>600</v>
      </c>
      <c r="N47" s="72">
        <v>2999</v>
      </c>
      <c r="O47" s="73">
        <f t="shared" si="38"/>
        <v>1075135.4263464273</v>
      </c>
      <c r="P47" s="75">
        <v>7514</v>
      </c>
      <c r="Q47" s="75">
        <v>4834</v>
      </c>
      <c r="R47" s="75">
        <v>7100</v>
      </c>
      <c r="S47" s="75">
        <f t="shared" si="28"/>
        <v>6276.0424265500005</v>
      </c>
      <c r="T47" s="75">
        <f t="shared" si="29"/>
        <v>6276.0424265500005</v>
      </c>
      <c r="U47" s="75">
        <f t="shared" si="39"/>
        <v>1641.4264807899999</v>
      </c>
      <c r="V47" s="75">
        <v>7999</v>
      </c>
      <c r="W47" s="73">
        <f t="shared" si="40"/>
        <v>1051656.3116737672</v>
      </c>
      <c r="X47" s="84">
        <f t="shared" si="41"/>
        <v>1110499.8952537673</v>
      </c>
      <c r="Y47" s="32">
        <f t="shared" si="32"/>
        <v>818258.46499999997</v>
      </c>
      <c r="Z47" s="32">
        <f t="shared" si="33"/>
        <v>5318.6800225000006</v>
      </c>
      <c r="AA47" s="32">
        <f t="shared" si="34"/>
        <v>957.36240405000024</v>
      </c>
      <c r="AB47" s="32">
        <f t="shared" si="35"/>
        <v>6276.0424265500005</v>
      </c>
    </row>
    <row r="48" spans="1:28" ht="21.6" customHeight="1" thickBot="1">
      <c r="A48" s="221"/>
      <c r="B48" s="186"/>
      <c r="C48" s="85" t="s">
        <v>27</v>
      </c>
      <c r="D48" s="86">
        <v>865324.71</v>
      </c>
      <c r="E48" s="106">
        <f t="shared" si="36"/>
        <v>35747.089459131501</v>
      </c>
      <c r="F48" s="86">
        <f t="shared" si="24"/>
        <v>116242.05654599999</v>
      </c>
      <c r="G48" s="86">
        <v>600</v>
      </c>
      <c r="H48" s="86">
        <v>2999</v>
      </c>
      <c r="I48" s="88">
        <f t="shared" si="37"/>
        <v>1020912.8560051314</v>
      </c>
      <c r="J48" s="86">
        <f t="shared" si="25"/>
        <v>865324.71</v>
      </c>
      <c r="K48" s="107">
        <f t="shared" si="26"/>
        <v>33092.089459131501</v>
      </c>
      <c r="L48" s="89">
        <f t="shared" si="27"/>
        <v>178026.24083999998</v>
      </c>
      <c r="M48" s="89">
        <v>600</v>
      </c>
      <c r="N48" s="86">
        <v>2999</v>
      </c>
      <c r="O48" s="88">
        <f t="shared" si="38"/>
        <v>1080042.0402991315</v>
      </c>
      <c r="P48" s="89">
        <v>7514</v>
      </c>
      <c r="Q48" s="89">
        <v>4834</v>
      </c>
      <c r="R48" s="89">
        <v>7100</v>
      </c>
      <c r="S48" s="89">
        <f t="shared" si="28"/>
        <v>6305.1884994150005</v>
      </c>
      <c r="T48" s="89">
        <f t="shared" si="29"/>
        <v>6305.1884994150005</v>
      </c>
      <c r="U48" s="89">
        <f t="shared" si="39"/>
        <v>1649.0492998469997</v>
      </c>
      <c r="V48" s="89">
        <v>7999</v>
      </c>
      <c r="W48" s="88">
        <f t="shared" si="40"/>
        <v>1056314.0938043934</v>
      </c>
      <c r="X48" s="101">
        <f t="shared" si="41"/>
        <v>1115443.2780983937</v>
      </c>
      <c r="Y48" s="32">
        <f t="shared" si="32"/>
        <v>822058.47450000001</v>
      </c>
      <c r="Z48" s="32">
        <f t="shared" si="33"/>
        <v>5343.3800842500004</v>
      </c>
      <c r="AA48" s="32">
        <f t="shared" si="34"/>
        <v>961.80841516500004</v>
      </c>
      <c r="AB48" s="32">
        <f t="shared" si="35"/>
        <v>6305.1884994150005</v>
      </c>
    </row>
    <row r="49" spans="1:28" ht="15.75" thickBot="1"/>
    <row r="50" spans="1:28" ht="15.75" thickBot="1">
      <c r="A50" s="188" t="s">
        <v>102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</row>
    <row r="51" spans="1:28" ht="15.75" thickBot="1">
      <c r="A51" s="225" t="s">
        <v>4</v>
      </c>
      <c r="B51" s="191" t="s">
        <v>5</v>
      </c>
      <c r="C51" s="191"/>
      <c r="D51" s="248" t="s">
        <v>6</v>
      </c>
      <c r="E51" s="193"/>
      <c r="F51" s="193"/>
      <c r="G51" s="193"/>
      <c r="H51" s="193"/>
      <c r="I51" s="193"/>
      <c r="J51" s="194" t="s">
        <v>7</v>
      </c>
      <c r="K51" s="194"/>
      <c r="L51" s="194"/>
      <c r="M51" s="194"/>
      <c r="N51" s="194"/>
      <c r="O51" s="194"/>
      <c r="P51" s="195" t="s">
        <v>8</v>
      </c>
      <c r="Q51" s="195"/>
      <c r="R51" s="195"/>
      <c r="S51" s="195"/>
      <c r="T51" s="195"/>
      <c r="U51" s="195"/>
      <c r="V51" s="195"/>
      <c r="W51" s="227" t="s">
        <v>9</v>
      </c>
      <c r="X51" s="227"/>
    </row>
    <row r="52" spans="1:28" ht="64.5" thickBot="1">
      <c r="A52" s="226"/>
      <c r="B52" s="192"/>
      <c r="C52" s="192"/>
      <c r="D52" s="93" t="s">
        <v>10</v>
      </c>
      <c r="E52" s="23" t="s">
        <v>11</v>
      </c>
      <c r="F52" s="4" t="s">
        <v>12</v>
      </c>
      <c r="G52" s="4" t="s">
        <v>133</v>
      </c>
      <c r="H52" s="4" t="s">
        <v>13</v>
      </c>
      <c r="I52" s="4" t="s">
        <v>14</v>
      </c>
      <c r="J52" s="3" t="s">
        <v>10</v>
      </c>
      <c r="K52" s="3" t="s">
        <v>15</v>
      </c>
      <c r="L52" s="4" t="s">
        <v>12</v>
      </c>
      <c r="M52" s="4" t="s">
        <v>133</v>
      </c>
      <c r="N52" s="4" t="s">
        <v>13</v>
      </c>
      <c r="O52" s="4" t="s">
        <v>14</v>
      </c>
      <c r="P52" s="5" t="s">
        <v>16</v>
      </c>
      <c r="Q52" s="13" t="s">
        <v>17</v>
      </c>
      <c r="R52" s="5" t="s">
        <v>18</v>
      </c>
      <c r="S52" s="5" t="s">
        <v>19</v>
      </c>
      <c r="T52" s="5" t="s">
        <v>20</v>
      </c>
      <c r="U52" s="5" t="s">
        <v>139</v>
      </c>
      <c r="V52" s="5" t="s">
        <v>21</v>
      </c>
      <c r="W52" s="5" t="s">
        <v>22</v>
      </c>
      <c r="X52" s="5" t="s">
        <v>23</v>
      </c>
    </row>
    <row r="53" spans="1:28">
      <c r="A53" s="222" t="s">
        <v>67</v>
      </c>
      <c r="B53" s="184" t="s">
        <v>68</v>
      </c>
      <c r="C53" s="78" t="s">
        <v>26</v>
      </c>
      <c r="D53" s="79">
        <v>572082.81000000006</v>
      </c>
      <c r="E53" s="105">
        <f>((D53*95%*3.283%)-((D53*95%*3.283%)*40%)+13434)+((D53*95%*3.283%)-((D53*95%*3.283%)*40%)+13434)*18%+(D53*95%*0.1%+250)+(D53*95%*0.1%+250)*18%-IF((((D53*95%*3.283%)-((D53*95%*3.283%)*40%))*2.5%)&gt;500,500,(((D53*95%*3.283%)-((D53*95%*3.283%)*40%))*2.5%))-IF((((D53*95%*3.283%)-((D53*95%*3.283%)*40%))*2.5%)&gt;500,500,(((D53*95%*3.283%)-((D53*95%*3.283%)*40%))*2.5%))*18%</f>
        <v>29105.036808008557</v>
      </c>
      <c r="F53" s="79">
        <f t="shared" ref="F53:F74" si="52">(D53*11/100)+(D53*11/100)*2/100+1500</f>
        <v>65687.691282</v>
      </c>
      <c r="G53" s="79">
        <v>600</v>
      </c>
      <c r="H53" s="79">
        <v>2999</v>
      </c>
      <c r="I53" s="80">
        <f>D53+E53+F53+H53+G53</f>
        <v>670474.53809000866</v>
      </c>
      <c r="J53" s="79">
        <f t="shared" ref="J53:J74" si="53">D53</f>
        <v>572082.81000000006</v>
      </c>
      <c r="K53" s="105">
        <f t="shared" ref="K53:K74" si="54">((J53*95%*3.191%)-((J53*95%*3.191%)*40%)+11184)+((J53*95%*3.191%)-((J53*95%*3.191%)*40%)+11184)*18%+(J53*95%*0.1%+250)+(J53*95%*0.1%+250)*18%-IF((((J53*95%*3.191%)-((J53*95%*3.191%)*40%))*2.5%)&gt;500,500,(((J53*95%*3.191%)-((J53*95%*3.191%)*40%))*2.5%))-IF((((J53*95%*3.191%)-((J53*95%*3.191%)*40%))*2.5%)&gt;500,500,(((J53*95%*3.191%)-((J53*95%*3.191%)*40%))*2.5%))*18%</f>
        <v>26104.886548497176</v>
      </c>
      <c r="L53" s="82">
        <f t="shared" ref="L53:L74" si="55">(J53*20/100)+(J53*20/100)*2/100+1500</f>
        <v>118204.89324</v>
      </c>
      <c r="M53" s="82">
        <v>600</v>
      </c>
      <c r="N53" s="79">
        <v>2999</v>
      </c>
      <c r="O53" s="80">
        <f>J53+K53+L53+N53+M53</f>
        <v>719991.58978849719</v>
      </c>
      <c r="P53" s="82">
        <v>7147</v>
      </c>
      <c r="Q53" s="82">
        <v>4834</v>
      </c>
      <c r="R53" s="82">
        <v>7100</v>
      </c>
      <c r="S53" s="82">
        <f t="shared" ref="S53:S74" si="56">AB53</f>
        <v>4168.4813950650005</v>
      </c>
      <c r="T53" s="82">
        <f t="shared" ref="T53:T74" si="57">AB53</f>
        <v>4168.4813950650005</v>
      </c>
      <c r="U53" s="82">
        <f>((D53*95%)*0.17%)*1.18</f>
        <v>1090.2182110170002</v>
      </c>
      <c r="V53" s="82">
        <v>7999</v>
      </c>
      <c r="W53" s="80">
        <f t="shared" ref="W53" si="58">I53+P53+Q53+S53+V53+R53+U53</f>
        <v>702813.2376960906</v>
      </c>
      <c r="X53" s="83">
        <f t="shared" ref="X53" si="59">O53+P53+Q53+T53+V53+R53+U53</f>
        <v>752330.28939457913</v>
      </c>
      <c r="Y53" s="32">
        <f t="shared" ref="Y53:Y74" si="60">D53*95/100</f>
        <v>543478.66950000008</v>
      </c>
      <c r="Z53" s="32">
        <f t="shared" ref="Z53:Z74" si="61">Y53*0.65/100</f>
        <v>3532.6113517500007</v>
      </c>
      <c r="AA53" s="32">
        <f t="shared" ref="AA53:AA74" si="62">Z53*18/100</f>
        <v>635.8700433150002</v>
      </c>
      <c r="AB53" s="32">
        <f t="shared" ref="AB53:AB74" si="63">Z53+AA53</f>
        <v>4168.4813950650005</v>
      </c>
    </row>
    <row r="54" spans="1:28">
      <c r="A54" s="223"/>
      <c r="B54" s="185"/>
      <c r="C54" s="71" t="s">
        <v>27</v>
      </c>
      <c r="D54" s="72">
        <v>576082.80000000005</v>
      </c>
      <c r="E54" s="106">
        <f t="shared" ref="E54:E74" si="64">((D54*95%*3.283%)-((D54*95%*3.283%)*40%)+13434)+((D54*95%*3.283%)-((D54*95%*3.283%)*40%)+13434)*18%+(D54*95%*0.1%+250)+(D54*95%*0.1%+250)*18%-IF((((D54*95%*3.283%)-((D54*95%*3.283%)*40%))*2.5%)&gt;500,500,(((D54*95%*3.283%)-((D54*95%*3.283%)*40%))*2.5%))-IF((((D54*95%*3.283%)-((D54*95%*3.283%)*40%))*2.5%)&gt;500,500,(((D54*95%*3.283%)-((D54*95%*3.283%)*40%))*2.5%))*18%</f>
        <v>29195.638267704344</v>
      </c>
      <c r="F54" s="72">
        <f t="shared" si="52"/>
        <v>66136.490160000016</v>
      </c>
      <c r="G54" s="72">
        <v>600</v>
      </c>
      <c r="H54" s="72">
        <v>2999</v>
      </c>
      <c r="I54" s="73">
        <f t="shared" ref="I54:I74" si="65">D54+E54+F54+H54+G54</f>
        <v>675013.92842770438</v>
      </c>
      <c r="J54" s="72">
        <f t="shared" si="53"/>
        <v>576082.80000000005</v>
      </c>
      <c r="K54" s="106">
        <f t="shared" si="54"/>
        <v>26193.074725426181</v>
      </c>
      <c r="L54" s="75">
        <f t="shared" si="55"/>
        <v>119020.8912</v>
      </c>
      <c r="M54" s="75">
        <v>600</v>
      </c>
      <c r="N54" s="72">
        <v>2999</v>
      </c>
      <c r="O54" s="73">
        <f t="shared" ref="O54:O74" si="66">J54+K54+L54+N54+M54</f>
        <v>724895.76592542615</v>
      </c>
      <c r="P54" s="75">
        <v>7147</v>
      </c>
      <c r="Q54" s="75">
        <v>4834</v>
      </c>
      <c r="R54" s="75">
        <v>7100</v>
      </c>
      <c r="S54" s="75">
        <f t="shared" si="56"/>
        <v>4197.6273222</v>
      </c>
      <c r="T54" s="75">
        <f t="shared" si="57"/>
        <v>4197.6273222</v>
      </c>
      <c r="U54" s="75">
        <f t="shared" ref="U54:U91" si="67">((D54*95%)*0.17%)*1.18</f>
        <v>1097.8409919600001</v>
      </c>
      <c r="V54" s="75">
        <v>7999</v>
      </c>
      <c r="W54" s="73">
        <f t="shared" ref="W54:W73" si="68">I54+P54+Q54+S54+V54+R54+U54</f>
        <v>707389.39674186439</v>
      </c>
      <c r="X54" s="84">
        <f t="shared" ref="X54:X73" si="69">O54+P54+Q54+T54+V54+R54+U54</f>
        <v>757271.23423958616</v>
      </c>
      <c r="Y54" s="32">
        <f t="shared" si="60"/>
        <v>547278.66</v>
      </c>
      <c r="Z54" s="32">
        <f t="shared" si="61"/>
        <v>3557.3112900000001</v>
      </c>
      <c r="AA54" s="32">
        <f t="shared" si="62"/>
        <v>640.3160322</v>
      </c>
      <c r="AB54" s="32">
        <f t="shared" si="63"/>
        <v>4197.6273222</v>
      </c>
    </row>
    <row r="55" spans="1:28">
      <c r="A55" s="223"/>
      <c r="B55" s="185" t="s">
        <v>69</v>
      </c>
      <c r="C55" s="71" t="s">
        <v>26</v>
      </c>
      <c r="D55" s="72">
        <v>583898.79</v>
      </c>
      <c r="E55" s="106">
        <f t="shared" si="64"/>
        <v>29372.673736034922</v>
      </c>
      <c r="F55" s="72">
        <f t="shared" si="52"/>
        <v>67013.444237999996</v>
      </c>
      <c r="G55" s="72">
        <v>600</v>
      </c>
      <c r="H55" s="72">
        <v>2999</v>
      </c>
      <c r="I55" s="73">
        <f t="shared" si="65"/>
        <v>683883.9079740349</v>
      </c>
      <c r="J55" s="72">
        <f t="shared" si="53"/>
        <v>583898.79</v>
      </c>
      <c r="K55" s="106">
        <f t="shared" si="54"/>
        <v>26365.394633474789</v>
      </c>
      <c r="L55" s="75">
        <f t="shared" si="55"/>
        <v>120615.35316</v>
      </c>
      <c r="M55" s="75">
        <v>600</v>
      </c>
      <c r="N55" s="72">
        <v>2999</v>
      </c>
      <c r="O55" s="73">
        <f t="shared" si="66"/>
        <v>734478.53779347474</v>
      </c>
      <c r="P55" s="75">
        <v>7147</v>
      </c>
      <c r="Q55" s="75">
        <v>4834</v>
      </c>
      <c r="R55" s="75">
        <v>7100</v>
      </c>
      <c r="S55" s="75">
        <f t="shared" si="56"/>
        <v>4254.5785333350004</v>
      </c>
      <c r="T55" s="75">
        <f t="shared" si="57"/>
        <v>4254.5785333350004</v>
      </c>
      <c r="U55" s="75">
        <f t="shared" si="67"/>
        <v>1112.7359241030001</v>
      </c>
      <c r="V55" s="75">
        <v>7999</v>
      </c>
      <c r="W55" s="73">
        <f t="shared" si="68"/>
        <v>716331.22243147285</v>
      </c>
      <c r="X55" s="84">
        <f t="shared" si="69"/>
        <v>766925.85225091269</v>
      </c>
      <c r="Y55" s="91">
        <f t="shared" si="60"/>
        <v>554703.85050000006</v>
      </c>
      <c r="Z55" s="37">
        <f t="shared" si="61"/>
        <v>3605.5750282500003</v>
      </c>
      <c r="AA55" s="32">
        <f t="shared" si="62"/>
        <v>649.00350508500003</v>
      </c>
      <c r="AB55" s="38">
        <f t="shared" si="63"/>
        <v>4254.5785333350004</v>
      </c>
    </row>
    <row r="56" spans="1:28">
      <c r="A56" s="223"/>
      <c r="B56" s="185"/>
      <c r="C56" s="71" t="s">
        <v>27</v>
      </c>
      <c r="D56" s="72">
        <v>587898.81000000006</v>
      </c>
      <c r="E56" s="106">
        <f t="shared" si="64"/>
        <v>29463.275875243355</v>
      </c>
      <c r="F56" s="72">
        <f t="shared" si="52"/>
        <v>67462.246482000002</v>
      </c>
      <c r="G56" s="72">
        <v>600</v>
      </c>
      <c r="H56" s="72">
        <v>2999</v>
      </c>
      <c r="I56" s="73">
        <f t="shared" si="65"/>
        <v>688423.3323572434</v>
      </c>
      <c r="J56" s="72">
        <f t="shared" si="53"/>
        <v>587898.81000000006</v>
      </c>
      <c r="K56" s="106">
        <f t="shared" si="54"/>
        <v>26453.583471816772</v>
      </c>
      <c r="L56" s="75">
        <f t="shared" si="55"/>
        <v>121431.35724000001</v>
      </c>
      <c r="M56" s="75">
        <v>600</v>
      </c>
      <c r="N56" s="72">
        <v>2999</v>
      </c>
      <c r="O56" s="73">
        <f t="shared" si="66"/>
        <v>739382.75071181683</v>
      </c>
      <c r="P56" s="75">
        <v>7147</v>
      </c>
      <c r="Q56" s="75">
        <v>4834</v>
      </c>
      <c r="R56" s="75">
        <v>7100</v>
      </c>
      <c r="S56" s="75">
        <f t="shared" si="56"/>
        <v>4283.7246790650006</v>
      </c>
      <c r="T56" s="75">
        <f t="shared" si="57"/>
        <v>4283.7246790650006</v>
      </c>
      <c r="U56" s="75">
        <f t="shared" si="67"/>
        <v>1120.358762217</v>
      </c>
      <c r="V56" s="75">
        <v>7999</v>
      </c>
      <c r="W56" s="73">
        <f t="shared" si="68"/>
        <v>720907.41579852544</v>
      </c>
      <c r="X56" s="84">
        <f t="shared" si="69"/>
        <v>771866.83415309887</v>
      </c>
      <c r="Y56" s="32">
        <f t="shared" si="60"/>
        <v>558503.86950000003</v>
      </c>
      <c r="Z56" s="32">
        <f t="shared" si="61"/>
        <v>3630.2751517500001</v>
      </c>
      <c r="AA56" s="32">
        <f t="shared" si="62"/>
        <v>653.44952731500007</v>
      </c>
      <c r="AB56" s="32">
        <f t="shared" si="63"/>
        <v>4283.7246790650006</v>
      </c>
    </row>
    <row r="57" spans="1:28">
      <c r="A57" s="223"/>
      <c r="B57" s="185" t="s">
        <v>70</v>
      </c>
      <c r="C57" s="71" t="s">
        <v>26</v>
      </c>
      <c r="D57" s="72">
        <v>655776.78</v>
      </c>
      <c r="E57" s="106">
        <f t="shared" si="64"/>
        <v>31000.740509701605</v>
      </c>
      <c r="F57" s="72">
        <f t="shared" si="52"/>
        <v>75078.154716000005</v>
      </c>
      <c r="G57" s="72">
        <v>600</v>
      </c>
      <c r="H57" s="72">
        <v>2999</v>
      </c>
      <c r="I57" s="73">
        <f t="shared" si="65"/>
        <v>765454.67522570165</v>
      </c>
      <c r="J57" s="72">
        <f t="shared" si="53"/>
        <v>655776.78</v>
      </c>
      <c r="K57" s="106">
        <f t="shared" si="54"/>
        <v>27950.095820083094</v>
      </c>
      <c r="L57" s="75">
        <f t="shared" si="55"/>
        <v>135278.46312000003</v>
      </c>
      <c r="M57" s="75">
        <v>600</v>
      </c>
      <c r="N57" s="72">
        <v>2999</v>
      </c>
      <c r="O57" s="73">
        <f t="shared" si="66"/>
        <v>822604.33894008305</v>
      </c>
      <c r="P57" s="75">
        <v>7147</v>
      </c>
      <c r="Q57" s="75">
        <v>4834</v>
      </c>
      <c r="R57" s="75">
        <v>7100</v>
      </c>
      <c r="S57" s="75">
        <f t="shared" si="56"/>
        <v>4778.3175074700002</v>
      </c>
      <c r="T57" s="75">
        <f t="shared" si="57"/>
        <v>4778.3175074700002</v>
      </c>
      <c r="U57" s="75">
        <f t="shared" si="67"/>
        <v>1249.7138096460001</v>
      </c>
      <c r="V57" s="75">
        <v>7999</v>
      </c>
      <c r="W57" s="73">
        <f t="shared" si="68"/>
        <v>798562.70654281764</v>
      </c>
      <c r="X57" s="84">
        <f t="shared" si="69"/>
        <v>855712.37025719904</v>
      </c>
      <c r="Y57" s="32">
        <f t="shared" si="60"/>
        <v>622987.94099999999</v>
      </c>
      <c r="Z57" s="32">
        <f t="shared" si="61"/>
        <v>4049.4216165000003</v>
      </c>
      <c r="AA57" s="32">
        <f t="shared" si="62"/>
        <v>728.89589096999998</v>
      </c>
      <c r="AB57" s="32">
        <f t="shared" si="63"/>
        <v>4778.3175074700002</v>
      </c>
    </row>
    <row r="58" spans="1:28">
      <c r="A58" s="223"/>
      <c r="B58" s="185"/>
      <c r="C58" s="71" t="s">
        <v>27</v>
      </c>
      <c r="D58" s="72">
        <v>659776.77</v>
      </c>
      <c r="E58" s="106">
        <f t="shared" si="64"/>
        <v>31091.341969397392</v>
      </c>
      <c r="F58" s="72">
        <f t="shared" si="52"/>
        <v>75526.953594000006</v>
      </c>
      <c r="G58" s="72">
        <v>600</v>
      </c>
      <c r="H58" s="72">
        <v>2999</v>
      </c>
      <c r="I58" s="73">
        <f t="shared" si="65"/>
        <v>769994.06556339737</v>
      </c>
      <c r="J58" s="72">
        <f t="shared" si="53"/>
        <v>659776.77</v>
      </c>
      <c r="K58" s="106">
        <f t="shared" si="54"/>
        <v>28038.283997012095</v>
      </c>
      <c r="L58" s="75">
        <f t="shared" si="55"/>
        <v>136094.46107999998</v>
      </c>
      <c r="M58" s="75">
        <v>600</v>
      </c>
      <c r="N58" s="72">
        <v>2999</v>
      </c>
      <c r="O58" s="73">
        <f t="shared" si="66"/>
        <v>827508.51507701213</v>
      </c>
      <c r="P58" s="75">
        <v>7147</v>
      </c>
      <c r="Q58" s="75">
        <v>4834</v>
      </c>
      <c r="R58" s="75">
        <v>7100</v>
      </c>
      <c r="S58" s="75">
        <f t="shared" si="56"/>
        <v>4807.4634346049997</v>
      </c>
      <c r="T58" s="75">
        <f t="shared" si="57"/>
        <v>4807.4634346049997</v>
      </c>
      <c r="U58" s="75">
        <f t="shared" si="67"/>
        <v>1257.3365905889998</v>
      </c>
      <c r="V58" s="75">
        <v>7999</v>
      </c>
      <c r="W58" s="73">
        <f t="shared" si="68"/>
        <v>803138.86558859143</v>
      </c>
      <c r="X58" s="84">
        <f t="shared" si="69"/>
        <v>860653.31510220619</v>
      </c>
      <c r="Y58" s="32">
        <f t="shared" si="60"/>
        <v>626787.93149999995</v>
      </c>
      <c r="Z58" s="32">
        <f t="shared" si="61"/>
        <v>4074.1215547499996</v>
      </c>
      <c r="AA58" s="32">
        <f t="shared" si="62"/>
        <v>733.341879855</v>
      </c>
      <c r="AB58" s="32">
        <f t="shared" si="63"/>
        <v>4807.4634346049997</v>
      </c>
    </row>
    <row r="59" spans="1:28">
      <c r="A59" s="223"/>
      <c r="B59" s="185" t="s">
        <v>71</v>
      </c>
      <c r="C59" s="71" t="s">
        <v>26</v>
      </c>
      <c r="D59" s="72">
        <v>669370.77</v>
      </c>
      <c r="E59" s="106">
        <f t="shared" si="64"/>
        <v>31308.650113748092</v>
      </c>
      <c r="F59" s="72">
        <f t="shared" si="52"/>
        <v>76603.400393999997</v>
      </c>
      <c r="G59" s="72">
        <v>600</v>
      </c>
      <c r="H59" s="72">
        <v>2999</v>
      </c>
      <c r="I59" s="73">
        <f t="shared" si="65"/>
        <v>780881.82050774805</v>
      </c>
      <c r="J59" s="72">
        <f t="shared" si="53"/>
        <v>669370.77</v>
      </c>
      <c r="K59" s="106">
        <f t="shared" si="54"/>
        <v>28249.803868176001</v>
      </c>
      <c r="L59" s="75">
        <f t="shared" si="55"/>
        <v>138051.63708000001</v>
      </c>
      <c r="M59" s="75">
        <v>600</v>
      </c>
      <c r="N59" s="72">
        <v>2999</v>
      </c>
      <c r="O59" s="73">
        <f t="shared" si="66"/>
        <v>839271.21094817598</v>
      </c>
      <c r="P59" s="75">
        <v>7147</v>
      </c>
      <c r="Q59" s="75">
        <v>4834</v>
      </c>
      <c r="R59" s="75">
        <v>7100</v>
      </c>
      <c r="S59" s="75">
        <f t="shared" si="56"/>
        <v>4877.3701156050001</v>
      </c>
      <c r="T59" s="75">
        <f t="shared" si="57"/>
        <v>4877.3701156050001</v>
      </c>
      <c r="U59" s="75">
        <f t="shared" si="67"/>
        <v>1275.6198763890002</v>
      </c>
      <c r="V59" s="75">
        <v>7999</v>
      </c>
      <c r="W59" s="73">
        <f t="shared" si="68"/>
        <v>814114.81049974205</v>
      </c>
      <c r="X59" s="84">
        <f t="shared" si="69"/>
        <v>872504.20094016998</v>
      </c>
      <c r="Y59" s="32">
        <f t="shared" si="60"/>
        <v>635902.23149999999</v>
      </c>
      <c r="Z59" s="32">
        <f t="shared" si="61"/>
        <v>4133.3645047500004</v>
      </c>
      <c r="AA59" s="32">
        <f t="shared" si="62"/>
        <v>744.0056108550001</v>
      </c>
      <c r="AB59" s="32">
        <f t="shared" si="63"/>
        <v>4877.3701156050001</v>
      </c>
    </row>
    <row r="60" spans="1:28">
      <c r="A60" s="223"/>
      <c r="B60" s="185"/>
      <c r="C60" s="71" t="s">
        <v>27</v>
      </c>
      <c r="D60" s="72">
        <v>673370.77</v>
      </c>
      <c r="E60" s="106">
        <f t="shared" si="64"/>
        <v>31399.251799948092</v>
      </c>
      <c r="F60" s="72">
        <f t="shared" si="52"/>
        <v>77052.200394</v>
      </c>
      <c r="G60" s="72">
        <v>600</v>
      </c>
      <c r="H60" s="72">
        <v>2999</v>
      </c>
      <c r="I60" s="73">
        <f t="shared" si="65"/>
        <v>785421.22219394811</v>
      </c>
      <c r="J60" s="72">
        <f t="shared" si="53"/>
        <v>673370.77</v>
      </c>
      <c r="K60" s="106">
        <f t="shared" si="54"/>
        <v>28337.992265575998</v>
      </c>
      <c r="L60" s="75">
        <f t="shared" si="55"/>
        <v>138867.63708000001</v>
      </c>
      <c r="M60" s="75">
        <v>600</v>
      </c>
      <c r="N60" s="72">
        <v>2999</v>
      </c>
      <c r="O60" s="73">
        <f t="shared" si="66"/>
        <v>844175.39934557606</v>
      </c>
      <c r="P60" s="75">
        <v>7147</v>
      </c>
      <c r="Q60" s="75">
        <v>4834</v>
      </c>
      <c r="R60" s="75">
        <v>7100</v>
      </c>
      <c r="S60" s="75">
        <f t="shared" si="56"/>
        <v>4906.5161156049999</v>
      </c>
      <c r="T60" s="75">
        <f t="shared" si="57"/>
        <v>4906.5161156049999</v>
      </c>
      <c r="U60" s="75">
        <f t="shared" si="67"/>
        <v>1283.2426763889998</v>
      </c>
      <c r="V60" s="75">
        <v>7999</v>
      </c>
      <c r="W60" s="73">
        <f t="shared" si="68"/>
        <v>818690.98098594218</v>
      </c>
      <c r="X60" s="84">
        <f t="shared" si="69"/>
        <v>877445.15813757014</v>
      </c>
      <c r="Y60" s="32">
        <f t="shared" si="60"/>
        <v>639702.23149999999</v>
      </c>
      <c r="Z60" s="32">
        <f t="shared" si="61"/>
        <v>4158.0645047500002</v>
      </c>
      <c r="AA60" s="32">
        <f t="shared" si="62"/>
        <v>748.45161085500001</v>
      </c>
      <c r="AB60" s="32">
        <f t="shared" si="63"/>
        <v>4906.5161156049999</v>
      </c>
    </row>
    <row r="61" spans="1:28">
      <c r="A61" s="223"/>
      <c r="B61" s="247" t="s">
        <v>132</v>
      </c>
      <c r="C61" s="71" t="s">
        <v>26</v>
      </c>
      <c r="D61" s="72">
        <v>679370.76</v>
      </c>
      <c r="E61" s="106">
        <f t="shared" si="64"/>
        <v>31535.154102743876</v>
      </c>
      <c r="F61" s="72">
        <f t="shared" si="52"/>
        <v>77725.39927200001</v>
      </c>
      <c r="G61" s="72">
        <v>600</v>
      </c>
      <c r="H61" s="72">
        <v>2999</v>
      </c>
      <c r="I61" s="73">
        <f t="shared" si="65"/>
        <v>792230.3133747438</v>
      </c>
      <c r="J61" s="72">
        <f t="shared" si="53"/>
        <v>679370.76</v>
      </c>
      <c r="K61" s="106">
        <f t="shared" si="54"/>
        <v>28470.274641205004</v>
      </c>
      <c r="L61" s="75">
        <f t="shared" si="55"/>
        <v>140091.63503999999</v>
      </c>
      <c r="M61" s="75">
        <v>600</v>
      </c>
      <c r="N61" s="72">
        <v>2999</v>
      </c>
      <c r="O61" s="73">
        <f t="shared" si="66"/>
        <v>851531.66968120495</v>
      </c>
      <c r="P61" s="75">
        <v>7147</v>
      </c>
      <c r="Q61" s="75">
        <v>4834</v>
      </c>
      <c r="R61" s="75">
        <v>7100</v>
      </c>
      <c r="S61" s="75">
        <f t="shared" si="56"/>
        <v>4950.2350427400006</v>
      </c>
      <c r="T61" s="75">
        <f t="shared" si="57"/>
        <v>4950.2350427400006</v>
      </c>
      <c r="U61" s="75">
        <f t="shared" si="67"/>
        <v>1294.6768573320001</v>
      </c>
      <c r="V61" s="75">
        <v>7999</v>
      </c>
      <c r="W61" s="73">
        <f t="shared" si="68"/>
        <v>825555.22527481581</v>
      </c>
      <c r="X61" s="84">
        <f t="shared" si="69"/>
        <v>884856.58158127696</v>
      </c>
      <c r="Y61" s="32">
        <f t="shared" si="60"/>
        <v>645402.22200000007</v>
      </c>
      <c r="Z61" s="32">
        <f t="shared" si="61"/>
        <v>4195.1144430000004</v>
      </c>
      <c r="AA61" s="32">
        <f t="shared" si="62"/>
        <v>755.12059973999999</v>
      </c>
      <c r="AB61" s="32">
        <f t="shared" si="63"/>
        <v>4950.2350427400006</v>
      </c>
    </row>
    <row r="62" spans="1:28">
      <c r="A62" s="223"/>
      <c r="B62" s="247"/>
      <c r="C62" s="71" t="s">
        <v>27</v>
      </c>
      <c r="D62" s="72">
        <v>683370.77</v>
      </c>
      <c r="E62" s="106">
        <f t="shared" si="64"/>
        <v>31625.756015448093</v>
      </c>
      <c r="F62" s="72">
        <f t="shared" si="52"/>
        <v>78174.200394</v>
      </c>
      <c r="G62" s="72">
        <v>600</v>
      </c>
      <c r="H62" s="72">
        <v>2999</v>
      </c>
      <c r="I62" s="73">
        <f t="shared" si="65"/>
        <v>796769.72640944819</v>
      </c>
      <c r="J62" s="72">
        <f t="shared" si="53"/>
        <v>683370.77</v>
      </c>
      <c r="K62" s="106">
        <f t="shared" si="54"/>
        <v>28558.463259075997</v>
      </c>
      <c r="L62" s="75">
        <f t="shared" si="55"/>
        <v>140907.63708000001</v>
      </c>
      <c r="M62" s="75">
        <v>600</v>
      </c>
      <c r="N62" s="72">
        <v>2999</v>
      </c>
      <c r="O62" s="73">
        <f t="shared" si="66"/>
        <v>856435.87033907603</v>
      </c>
      <c r="P62" s="75">
        <v>7147</v>
      </c>
      <c r="Q62" s="75">
        <v>4834</v>
      </c>
      <c r="R62" s="75">
        <v>7100</v>
      </c>
      <c r="S62" s="75">
        <f t="shared" si="56"/>
        <v>4979.3811156050006</v>
      </c>
      <c r="T62" s="75">
        <f t="shared" si="57"/>
        <v>4979.3811156050006</v>
      </c>
      <c r="U62" s="75">
        <f t="shared" si="67"/>
        <v>1302.2996763890001</v>
      </c>
      <c r="V62" s="75">
        <v>7999</v>
      </c>
      <c r="W62" s="73">
        <f t="shared" si="68"/>
        <v>830131.40720144217</v>
      </c>
      <c r="X62" s="84">
        <f t="shared" si="69"/>
        <v>889797.55113107001</v>
      </c>
      <c r="Y62" s="32">
        <f t="shared" si="60"/>
        <v>649202.23149999999</v>
      </c>
      <c r="Z62" s="32">
        <f t="shared" si="61"/>
        <v>4219.8145047500002</v>
      </c>
      <c r="AA62" s="32">
        <f t="shared" si="62"/>
        <v>759.56661085500002</v>
      </c>
      <c r="AB62" s="32">
        <f t="shared" si="63"/>
        <v>4979.3811156050006</v>
      </c>
    </row>
    <row r="63" spans="1:28">
      <c r="A63" s="223"/>
      <c r="B63" s="247" t="s">
        <v>140</v>
      </c>
      <c r="C63" s="71" t="s">
        <v>26</v>
      </c>
      <c r="D63" s="72">
        <v>679370.76</v>
      </c>
      <c r="E63" s="106">
        <f t="shared" si="64"/>
        <v>31535.154102743876</v>
      </c>
      <c r="F63" s="72">
        <f t="shared" si="52"/>
        <v>77725.39927200001</v>
      </c>
      <c r="G63" s="72">
        <v>600</v>
      </c>
      <c r="H63" s="72">
        <v>2999</v>
      </c>
      <c r="I63" s="73">
        <f t="shared" ref="I63:I64" si="70">D63+E63+F63+H63+G63</f>
        <v>792230.3133747438</v>
      </c>
      <c r="J63" s="72">
        <f t="shared" ref="J63:J64" si="71">D63</f>
        <v>679370.76</v>
      </c>
      <c r="K63" s="106">
        <f t="shared" si="54"/>
        <v>28470.274641205004</v>
      </c>
      <c r="L63" s="75">
        <f t="shared" si="55"/>
        <v>140091.63503999999</v>
      </c>
      <c r="M63" s="75">
        <v>600</v>
      </c>
      <c r="N63" s="72">
        <v>2999</v>
      </c>
      <c r="O63" s="73">
        <f t="shared" ref="O63:O64" si="72">J63+K63+L63+N63+M63</f>
        <v>851531.66968120495</v>
      </c>
      <c r="P63" s="75">
        <v>7147</v>
      </c>
      <c r="Q63" s="75">
        <v>4834</v>
      </c>
      <c r="R63" s="75">
        <v>7100</v>
      </c>
      <c r="S63" s="75">
        <f t="shared" ref="S63:S64" si="73">AB63</f>
        <v>4950.2350427400006</v>
      </c>
      <c r="T63" s="75">
        <f t="shared" ref="T63:T64" si="74">AB63</f>
        <v>4950.2350427400006</v>
      </c>
      <c r="U63" s="75">
        <f t="shared" ref="U63:U64" si="75">((D63*95%)*0.17%)*1.18</f>
        <v>1294.6768573320001</v>
      </c>
      <c r="V63" s="75">
        <v>7999</v>
      </c>
      <c r="W63" s="73">
        <f t="shared" si="68"/>
        <v>825555.22527481581</v>
      </c>
      <c r="X63" s="84">
        <f t="shared" si="69"/>
        <v>884856.58158127696</v>
      </c>
      <c r="Y63" s="32">
        <f t="shared" ref="Y63:Y64" si="76">D63*95/100</f>
        <v>645402.22200000007</v>
      </c>
      <c r="Z63" s="32">
        <f t="shared" ref="Z63:Z64" si="77">Y63*0.65/100</f>
        <v>4195.1144430000004</v>
      </c>
      <c r="AA63" s="32">
        <f t="shared" ref="AA63:AA64" si="78">Z63*18/100</f>
        <v>755.12059973999999</v>
      </c>
      <c r="AB63" s="32">
        <f t="shared" ref="AB63:AB64" si="79">Z63+AA63</f>
        <v>4950.2350427400006</v>
      </c>
    </row>
    <row r="64" spans="1:28">
      <c r="A64" s="223"/>
      <c r="B64" s="247"/>
      <c r="C64" s="71" t="s">
        <v>27</v>
      </c>
      <c r="D64" s="72">
        <v>683370.77</v>
      </c>
      <c r="E64" s="106">
        <f t="shared" si="64"/>
        <v>31625.756015448093</v>
      </c>
      <c r="F64" s="72">
        <f t="shared" si="52"/>
        <v>78174.200394</v>
      </c>
      <c r="G64" s="72">
        <v>600</v>
      </c>
      <c r="H64" s="72">
        <v>2999</v>
      </c>
      <c r="I64" s="73">
        <f t="shared" si="70"/>
        <v>796769.72640944819</v>
      </c>
      <c r="J64" s="72">
        <f t="shared" si="71"/>
        <v>683370.77</v>
      </c>
      <c r="K64" s="106">
        <f t="shared" si="54"/>
        <v>28558.463259075997</v>
      </c>
      <c r="L64" s="75">
        <f t="shared" si="55"/>
        <v>140907.63708000001</v>
      </c>
      <c r="M64" s="75">
        <v>600</v>
      </c>
      <c r="N64" s="72">
        <v>2999</v>
      </c>
      <c r="O64" s="73">
        <f t="shared" si="72"/>
        <v>856435.87033907603</v>
      </c>
      <c r="P64" s="75">
        <v>7147</v>
      </c>
      <c r="Q64" s="75">
        <v>4834</v>
      </c>
      <c r="R64" s="75">
        <v>7100</v>
      </c>
      <c r="S64" s="75">
        <f t="shared" si="73"/>
        <v>4979.3811156050006</v>
      </c>
      <c r="T64" s="75">
        <f t="shared" si="74"/>
        <v>4979.3811156050006</v>
      </c>
      <c r="U64" s="75">
        <f t="shared" si="75"/>
        <v>1302.2996763890001</v>
      </c>
      <c r="V64" s="75">
        <v>7999</v>
      </c>
      <c r="W64" s="73">
        <f t="shared" si="68"/>
        <v>830131.40720144217</v>
      </c>
      <c r="X64" s="84">
        <f t="shared" si="69"/>
        <v>889797.55113107001</v>
      </c>
      <c r="Y64" s="32">
        <f t="shared" si="76"/>
        <v>649202.23149999999</v>
      </c>
      <c r="Z64" s="32">
        <f t="shared" si="77"/>
        <v>4219.8145047500002</v>
      </c>
      <c r="AA64" s="32">
        <f t="shared" si="78"/>
        <v>759.56661085500002</v>
      </c>
      <c r="AB64" s="32">
        <f t="shared" si="79"/>
        <v>4979.3811156050006</v>
      </c>
    </row>
    <row r="65" spans="1:28">
      <c r="A65" s="223"/>
      <c r="B65" s="185" t="s">
        <v>72</v>
      </c>
      <c r="C65" s="71" t="s">
        <v>26</v>
      </c>
      <c r="D65" s="72">
        <v>722079.76</v>
      </c>
      <c r="E65" s="106">
        <f t="shared" si="64"/>
        <v>32502.530956722825</v>
      </c>
      <c r="F65" s="72">
        <f t="shared" si="52"/>
        <v>82517.349071999997</v>
      </c>
      <c r="G65" s="72">
        <v>600</v>
      </c>
      <c r="H65" s="72">
        <v>2999</v>
      </c>
      <c r="I65" s="73">
        <f t="shared" si="65"/>
        <v>840698.64002872282</v>
      </c>
      <c r="J65" s="72">
        <f t="shared" si="53"/>
        <v>722079.76</v>
      </c>
      <c r="K65" s="106">
        <f t="shared" si="54"/>
        <v>29411.884207344159</v>
      </c>
      <c r="L65" s="75">
        <f t="shared" si="55"/>
        <v>148804.27103999999</v>
      </c>
      <c r="M65" s="75">
        <v>600</v>
      </c>
      <c r="N65" s="72">
        <v>2999</v>
      </c>
      <c r="O65" s="73">
        <f t="shared" si="66"/>
        <v>903894.91524734418</v>
      </c>
      <c r="P65" s="75">
        <v>7147</v>
      </c>
      <c r="Q65" s="75">
        <v>4834</v>
      </c>
      <c r="R65" s="75">
        <v>7100</v>
      </c>
      <c r="S65" s="75">
        <f t="shared" si="56"/>
        <v>5261.4341712400001</v>
      </c>
      <c r="T65" s="75">
        <f t="shared" si="57"/>
        <v>5261.4341712400001</v>
      </c>
      <c r="U65" s="75">
        <f t="shared" si="67"/>
        <v>1376.0673986319998</v>
      </c>
      <c r="V65" s="75">
        <v>7999</v>
      </c>
      <c r="W65" s="73">
        <f t="shared" si="68"/>
        <v>874416.14159859472</v>
      </c>
      <c r="X65" s="84">
        <f t="shared" si="69"/>
        <v>937612.41681721609</v>
      </c>
      <c r="Y65" s="32">
        <f t="shared" si="60"/>
        <v>685975.772</v>
      </c>
      <c r="Z65" s="32">
        <f t="shared" si="61"/>
        <v>4458.8425180000004</v>
      </c>
      <c r="AA65" s="32">
        <f t="shared" si="62"/>
        <v>802.59165324000003</v>
      </c>
      <c r="AB65" s="32">
        <f t="shared" si="63"/>
        <v>5261.4341712400001</v>
      </c>
    </row>
    <row r="66" spans="1:28">
      <c r="A66" s="223"/>
      <c r="B66" s="185"/>
      <c r="C66" s="71" t="s">
        <v>27</v>
      </c>
      <c r="D66" s="72">
        <v>726079.76</v>
      </c>
      <c r="E66" s="106">
        <f t="shared" si="64"/>
        <v>32593.132642922825</v>
      </c>
      <c r="F66" s="72">
        <f t="shared" si="52"/>
        <v>82966.149072</v>
      </c>
      <c r="G66" s="72">
        <v>600</v>
      </c>
      <c r="H66" s="72">
        <v>2999</v>
      </c>
      <c r="I66" s="73">
        <f t="shared" si="65"/>
        <v>845238.04171492276</v>
      </c>
      <c r="J66" s="72">
        <f t="shared" si="53"/>
        <v>726079.76</v>
      </c>
      <c r="K66" s="106">
        <f t="shared" si="54"/>
        <v>29500.07260474416</v>
      </c>
      <c r="L66" s="75">
        <f t="shared" si="55"/>
        <v>149620.27103999999</v>
      </c>
      <c r="M66" s="75">
        <v>600</v>
      </c>
      <c r="N66" s="72">
        <v>2999</v>
      </c>
      <c r="O66" s="73">
        <f t="shared" si="66"/>
        <v>908799.10364474414</v>
      </c>
      <c r="P66" s="75">
        <v>7147</v>
      </c>
      <c r="Q66" s="75">
        <v>4834</v>
      </c>
      <c r="R66" s="75">
        <v>7100</v>
      </c>
      <c r="S66" s="75">
        <f t="shared" si="56"/>
        <v>5290.5801712400007</v>
      </c>
      <c r="T66" s="75">
        <f t="shared" si="57"/>
        <v>5290.5801712400007</v>
      </c>
      <c r="U66" s="75">
        <f t="shared" si="67"/>
        <v>1383.6901986319999</v>
      </c>
      <c r="V66" s="75">
        <v>7999</v>
      </c>
      <c r="W66" s="73">
        <f t="shared" si="68"/>
        <v>878992.31208479474</v>
      </c>
      <c r="X66" s="84">
        <f t="shared" si="69"/>
        <v>942553.37401461613</v>
      </c>
      <c r="Y66" s="32">
        <f t="shared" si="60"/>
        <v>689775.772</v>
      </c>
      <c r="Z66" s="32">
        <f t="shared" si="61"/>
        <v>4483.5425180000002</v>
      </c>
      <c r="AA66" s="32">
        <f t="shared" si="62"/>
        <v>807.03765324000005</v>
      </c>
      <c r="AB66" s="32">
        <f t="shared" si="63"/>
        <v>5290.5801712400007</v>
      </c>
    </row>
    <row r="67" spans="1:28">
      <c r="A67" s="223"/>
      <c r="B67" s="185" t="s">
        <v>73</v>
      </c>
      <c r="C67" s="71" t="s">
        <v>26</v>
      </c>
      <c r="D67" s="72">
        <v>761390.72</v>
      </c>
      <c r="E67" s="106">
        <f t="shared" si="64"/>
        <v>33392.940772258014</v>
      </c>
      <c r="F67" s="72">
        <f t="shared" si="52"/>
        <v>86928.038784000004</v>
      </c>
      <c r="G67" s="72">
        <v>600</v>
      </c>
      <c r="H67" s="72">
        <v>2999</v>
      </c>
      <c r="I67" s="73">
        <f t="shared" si="65"/>
        <v>885310.69955625792</v>
      </c>
      <c r="J67" s="72">
        <f t="shared" si="53"/>
        <v>761390.72</v>
      </c>
      <c r="K67" s="106">
        <f t="shared" si="54"/>
        <v>30278.57684800803</v>
      </c>
      <c r="L67" s="75">
        <f t="shared" si="55"/>
        <v>156823.70687999998</v>
      </c>
      <c r="M67" s="75">
        <v>600</v>
      </c>
      <c r="N67" s="72">
        <v>2999</v>
      </c>
      <c r="O67" s="73">
        <f t="shared" si="66"/>
        <v>952092.0037280079</v>
      </c>
      <c r="P67" s="75">
        <v>7147</v>
      </c>
      <c r="Q67" s="75">
        <v>4834</v>
      </c>
      <c r="R67" s="75">
        <v>7100</v>
      </c>
      <c r="S67" s="75">
        <f t="shared" si="56"/>
        <v>5547.8734812799994</v>
      </c>
      <c r="T67" s="75">
        <f t="shared" si="57"/>
        <v>5547.8734812799994</v>
      </c>
      <c r="U67" s="75">
        <f t="shared" si="67"/>
        <v>1450.9822951039998</v>
      </c>
      <c r="V67" s="75">
        <v>7999</v>
      </c>
      <c r="W67" s="73">
        <f t="shared" si="68"/>
        <v>919389.55533264193</v>
      </c>
      <c r="X67" s="84">
        <f t="shared" si="69"/>
        <v>986170.8595043919</v>
      </c>
      <c r="Y67" s="32">
        <f t="shared" si="60"/>
        <v>723321.18399999989</v>
      </c>
      <c r="Z67" s="32">
        <f t="shared" si="61"/>
        <v>4701.5876959999996</v>
      </c>
      <c r="AA67" s="32">
        <f t="shared" si="62"/>
        <v>846.28578528000003</v>
      </c>
      <c r="AB67" s="32">
        <f t="shared" si="63"/>
        <v>5547.8734812799994</v>
      </c>
    </row>
    <row r="68" spans="1:28">
      <c r="A68" s="223"/>
      <c r="B68" s="185"/>
      <c r="C68" s="71" t="s">
        <v>27</v>
      </c>
      <c r="D68" s="72">
        <v>765390.73</v>
      </c>
      <c r="E68" s="106">
        <f t="shared" si="64"/>
        <v>33483.542684962231</v>
      </c>
      <c r="F68" s="72">
        <f t="shared" si="52"/>
        <v>87376.839905999994</v>
      </c>
      <c r="G68" s="72">
        <v>600</v>
      </c>
      <c r="H68" s="72">
        <v>2999</v>
      </c>
      <c r="I68" s="73">
        <f t="shared" si="65"/>
        <v>889850.11259096221</v>
      </c>
      <c r="J68" s="72">
        <f t="shared" si="53"/>
        <v>765390.73</v>
      </c>
      <c r="K68" s="106">
        <f t="shared" si="54"/>
        <v>30366.765465879023</v>
      </c>
      <c r="L68" s="75">
        <f t="shared" si="55"/>
        <v>157639.70892</v>
      </c>
      <c r="M68" s="75">
        <v>600</v>
      </c>
      <c r="N68" s="72">
        <v>2999</v>
      </c>
      <c r="O68" s="73">
        <f t="shared" si="66"/>
        <v>956996.20438587898</v>
      </c>
      <c r="P68" s="75">
        <v>7147</v>
      </c>
      <c r="Q68" s="75">
        <v>4834</v>
      </c>
      <c r="R68" s="75">
        <v>7100</v>
      </c>
      <c r="S68" s="75">
        <f t="shared" si="56"/>
        <v>5577.0195541450003</v>
      </c>
      <c r="T68" s="75">
        <f t="shared" si="57"/>
        <v>5577.0195541450003</v>
      </c>
      <c r="U68" s="75">
        <f t="shared" si="67"/>
        <v>1458.6051141609998</v>
      </c>
      <c r="V68" s="75">
        <v>7999</v>
      </c>
      <c r="W68" s="73">
        <f t="shared" si="68"/>
        <v>923965.7372592683</v>
      </c>
      <c r="X68" s="84">
        <f t="shared" si="69"/>
        <v>991111.82905418507</v>
      </c>
      <c r="Y68" s="32">
        <f t="shared" si="60"/>
        <v>727121.19349999994</v>
      </c>
      <c r="Z68" s="32">
        <f t="shared" si="61"/>
        <v>4726.2877577500003</v>
      </c>
      <c r="AA68" s="32">
        <f t="shared" si="62"/>
        <v>850.73179639500017</v>
      </c>
      <c r="AB68" s="32">
        <f t="shared" si="63"/>
        <v>5577.0195541450003</v>
      </c>
    </row>
    <row r="69" spans="1:28">
      <c r="A69" s="223"/>
      <c r="B69" s="185" t="s">
        <v>74</v>
      </c>
      <c r="C69" s="71" t="s">
        <v>26</v>
      </c>
      <c r="D69" s="72">
        <v>761390.72</v>
      </c>
      <c r="E69" s="106">
        <f t="shared" si="64"/>
        <v>33392.940772258014</v>
      </c>
      <c r="F69" s="72">
        <f t="shared" si="52"/>
        <v>86928.038784000004</v>
      </c>
      <c r="G69" s="72">
        <v>600</v>
      </c>
      <c r="H69" s="72">
        <v>2999</v>
      </c>
      <c r="I69" s="73">
        <f t="shared" si="65"/>
        <v>885310.69955625792</v>
      </c>
      <c r="J69" s="72">
        <f t="shared" si="53"/>
        <v>761390.72</v>
      </c>
      <c r="K69" s="106">
        <f t="shared" si="54"/>
        <v>30278.57684800803</v>
      </c>
      <c r="L69" s="75">
        <f t="shared" si="55"/>
        <v>156823.70687999998</v>
      </c>
      <c r="M69" s="75">
        <v>600</v>
      </c>
      <c r="N69" s="72">
        <v>2999</v>
      </c>
      <c r="O69" s="73">
        <f t="shared" si="66"/>
        <v>952092.0037280079</v>
      </c>
      <c r="P69" s="75">
        <v>7147</v>
      </c>
      <c r="Q69" s="75">
        <v>4834</v>
      </c>
      <c r="R69" s="75">
        <v>7100</v>
      </c>
      <c r="S69" s="75">
        <f t="shared" si="56"/>
        <v>5547.8734812799994</v>
      </c>
      <c r="T69" s="72">
        <f t="shared" si="57"/>
        <v>5547.8734812799994</v>
      </c>
      <c r="U69" s="75">
        <f t="shared" si="67"/>
        <v>1450.9822951039998</v>
      </c>
      <c r="V69" s="72">
        <v>7999</v>
      </c>
      <c r="W69" s="73">
        <f t="shared" si="68"/>
        <v>919389.55533264193</v>
      </c>
      <c r="X69" s="84">
        <f t="shared" si="69"/>
        <v>986170.8595043919</v>
      </c>
      <c r="Y69" s="32">
        <f t="shared" si="60"/>
        <v>723321.18399999989</v>
      </c>
      <c r="Z69" s="32">
        <f t="shared" si="61"/>
        <v>4701.5876959999996</v>
      </c>
      <c r="AA69" s="32">
        <f t="shared" si="62"/>
        <v>846.28578528000003</v>
      </c>
      <c r="AB69" s="32">
        <f t="shared" si="63"/>
        <v>5547.8734812799994</v>
      </c>
    </row>
    <row r="70" spans="1:28">
      <c r="A70" s="223"/>
      <c r="B70" s="185"/>
      <c r="C70" s="71" t="s">
        <v>27</v>
      </c>
      <c r="D70" s="72">
        <v>765390.73</v>
      </c>
      <c r="E70" s="106">
        <f t="shared" si="64"/>
        <v>33483.542684962231</v>
      </c>
      <c r="F70" s="72">
        <f t="shared" si="52"/>
        <v>87376.839905999994</v>
      </c>
      <c r="G70" s="72">
        <v>600</v>
      </c>
      <c r="H70" s="72">
        <v>2999</v>
      </c>
      <c r="I70" s="73">
        <f t="shared" si="65"/>
        <v>889850.11259096221</v>
      </c>
      <c r="J70" s="72">
        <f t="shared" si="53"/>
        <v>765390.73</v>
      </c>
      <c r="K70" s="106">
        <f t="shared" si="54"/>
        <v>30366.765465879023</v>
      </c>
      <c r="L70" s="75">
        <f t="shared" si="55"/>
        <v>157639.70892</v>
      </c>
      <c r="M70" s="75">
        <v>600</v>
      </c>
      <c r="N70" s="72">
        <v>2999</v>
      </c>
      <c r="O70" s="73">
        <f t="shared" si="66"/>
        <v>956996.20438587898</v>
      </c>
      <c r="P70" s="75">
        <v>7147</v>
      </c>
      <c r="Q70" s="75">
        <v>4834</v>
      </c>
      <c r="R70" s="75">
        <v>7100</v>
      </c>
      <c r="S70" s="75">
        <f t="shared" si="56"/>
        <v>5577.0195541450003</v>
      </c>
      <c r="T70" s="72">
        <f t="shared" si="57"/>
        <v>5577.0195541450003</v>
      </c>
      <c r="U70" s="75">
        <f t="shared" si="67"/>
        <v>1458.6051141609998</v>
      </c>
      <c r="V70" s="72">
        <v>7999</v>
      </c>
      <c r="W70" s="73">
        <f t="shared" si="68"/>
        <v>923965.7372592683</v>
      </c>
      <c r="X70" s="84">
        <f t="shared" si="69"/>
        <v>991111.82905418507</v>
      </c>
      <c r="Y70" s="32">
        <f t="shared" si="60"/>
        <v>727121.19349999994</v>
      </c>
      <c r="Z70" s="32">
        <f t="shared" si="61"/>
        <v>4726.2877577500003</v>
      </c>
      <c r="AA70" s="32">
        <f t="shared" si="62"/>
        <v>850.73179639500017</v>
      </c>
      <c r="AB70" s="32">
        <f t="shared" si="63"/>
        <v>5577.0195541450003</v>
      </c>
    </row>
    <row r="71" spans="1:28">
      <c r="A71" s="223"/>
      <c r="B71" s="185" t="s">
        <v>75</v>
      </c>
      <c r="C71" s="71" t="s">
        <v>26</v>
      </c>
      <c r="D71" s="72">
        <v>773211.73</v>
      </c>
      <c r="E71" s="106">
        <f t="shared" si="64"/>
        <v>33660.691631904781</v>
      </c>
      <c r="F71" s="72">
        <f t="shared" si="52"/>
        <v>88254.356105999992</v>
      </c>
      <c r="G71" s="72">
        <v>600</v>
      </c>
      <c r="H71" s="72">
        <v>2999</v>
      </c>
      <c r="I71" s="73">
        <f t="shared" si="65"/>
        <v>898725.77773790481</v>
      </c>
      <c r="J71" s="72">
        <f t="shared" si="53"/>
        <v>773211.73</v>
      </c>
      <c r="K71" s="106">
        <f t="shared" si="54"/>
        <v>30539.195829895376</v>
      </c>
      <c r="L71" s="75">
        <f t="shared" si="55"/>
        <v>159235.19292</v>
      </c>
      <c r="M71" s="75">
        <v>600</v>
      </c>
      <c r="N71" s="72">
        <v>2999</v>
      </c>
      <c r="O71" s="73">
        <f t="shared" si="66"/>
        <v>966585.11874989537</v>
      </c>
      <c r="P71" s="75">
        <v>7147</v>
      </c>
      <c r="Q71" s="75">
        <v>4834</v>
      </c>
      <c r="R71" s="75">
        <v>7100</v>
      </c>
      <c r="S71" s="75">
        <f t="shared" si="56"/>
        <v>5634.0072706449992</v>
      </c>
      <c r="T71" s="72">
        <f t="shared" si="57"/>
        <v>5634.0072706449992</v>
      </c>
      <c r="U71" s="75">
        <f t="shared" si="67"/>
        <v>1473.509593861</v>
      </c>
      <c r="V71" s="72">
        <v>7999</v>
      </c>
      <c r="W71" s="73">
        <f t="shared" si="68"/>
        <v>932913.29460241075</v>
      </c>
      <c r="X71" s="84">
        <f t="shared" si="69"/>
        <v>1000772.6356144013</v>
      </c>
      <c r="Y71" s="32">
        <f t="shared" si="60"/>
        <v>734551.14349999989</v>
      </c>
      <c r="Z71" s="32">
        <f t="shared" si="61"/>
        <v>4774.5824327499995</v>
      </c>
      <c r="AA71" s="32">
        <f t="shared" si="62"/>
        <v>859.424837895</v>
      </c>
      <c r="AB71" s="32">
        <f t="shared" si="63"/>
        <v>5634.0072706449992</v>
      </c>
    </row>
    <row r="72" spans="1:28">
      <c r="A72" s="223"/>
      <c r="B72" s="185"/>
      <c r="C72" s="71" t="s">
        <v>27</v>
      </c>
      <c r="D72" s="72">
        <v>777211.73</v>
      </c>
      <c r="E72" s="106">
        <f t="shared" si="64"/>
        <v>33751.293318104777</v>
      </c>
      <c r="F72" s="72">
        <f t="shared" si="52"/>
        <v>88703.156105999995</v>
      </c>
      <c r="G72" s="72">
        <v>600</v>
      </c>
      <c r="H72" s="72">
        <v>2999</v>
      </c>
      <c r="I72" s="73">
        <f t="shared" si="65"/>
        <v>903265.17942410475</v>
      </c>
      <c r="J72" s="72">
        <f t="shared" si="53"/>
        <v>777211.73</v>
      </c>
      <c r="K72" s="106">
        <f t="shared" si="54"/>
        <v>30627.384227295381</v>
      </c>
      <c r="L72" s="75">
        <f t="shared" si="55"/>
        <v>160051.19292</v>
      </c>
      <c r="M72" s="75">
        <v>600</v>
      </c>
      <c r="N72" s="72">
        <v>2999</v>
      </c>
      <c r="O72" s="73">
        <f t="shared" si="66"/>
        <v>971489.30714729545</v>
      </c>
      <c r="P72" s="75">
        <v>7147</v>
      </c>
      <c r="Q72" s="75">
        <v>4834</v>
      </c>
      <c r="R72" s="75">
        <v>7100</v>
      </c>
      <c r="S72" s="75">
        <f t="shared" si="56"/>
        <v>5663.1532706449989</v>
      </c>
      <c r="T72" s="72">
        <f t="shared" si="57"/>
        <v>5663.1532706449989</v>
      </c>
      <c r="U72" s="75">
        <f t="shared" si="67"/>
        <v>1481.1323938610001</v>
      </c>
      <c r="V72" s="72">
        <v>7999</v>
      </c>
      <c r="W72" s="73">
        <f t="shared" si="68"/>
        <v>937489.46508861065</v>
      </c>
      <c r="X72" s="84">
        <f t="shared" si="69"/>
        <v>1005713.5928118014</v>
      </c>
      <c r="Y72" s="32">
        <f t="shared" si="60"/>
        <v>738351.14349999989</v>
      </c>
      <c r="Z72" s="32">
        <f t="shared" si="61"/>
        <v>4799.2824327499993</v>
      </c>
      <c r="AA72" s="32">
        <f t="shared" si="62"/>
        <v>863.87083789499991</v>
      </c>
      <c r="AB72" s="32">
        <f t="shared" si="63"/>
        <v>5663.1532706449989</v>
      </c>
    </row>
    <row r="73" spans="1:28">
      <c r="A73" s="223"/>
      <c r="B73" s="185" t="s">
        <v>76</v>
      </c>
      <c r="C73" s="71" t="s">
        <v>26</v>
      </c>
      <c r="D73" s="72">
        <v>859914.71</v>
      </c>
      <c r="E73" s="106">
        <f t="shared" si="64"/>
        <v>35624.550678545995</v>
      </c>
      <c r="F73" s="72">
        <f t="shared" si="52"/>
        <v>97982.430461999989</v>
      </c>
      <c r="G73" s="72">
        <v>600</v>
      </c>
      <c r="H73" s="72">
        <v>2999</v>
      </c>
      <c r="I73" s="73">
        <f t="shared" si="65"/>
        <v>997120.69114054588</v>
      </c>
      <c r="J73" s="72">
        <f t="shared" si="53"/>
        <v>859914.71</v>
      </c>
      <c r="K73" s="106">
        <f t="shared" si="54"/>
        <v>32450.74504389643</v>
      </c>
      <c r="L73" s="75">
        <f t="shared" si="55"/>
        <v>176922.60083999997</v>
      </c>
      <c r="M73" s="75">
        <v>600</v>
      </c>
      <c r="N73" s="72">
        <v>2999</v>
      </c>
      <c r="O73" s="73">
        <f t="shared" si="66"/>
        <v>1072887.0558838963</v>
      </c>
      <c r="P73" s="75">
        <v>7147</v>
      </c>
      <c r="Q73" s="75">
        <v>4834</v>
      </c>
      <c r="R73" s="75">
        <v>7100</v>
      </c>
      <c r="S73" s="75">
        <f t="shared" si="56"/>
        <v>6265.7685344150004</v>
      </c>
      <c r="T73" s="72">
        <f t="shared" si="57"/>
        <v>6265.7685344150004</v>
      </c>
      <c r="U73" s="75">
        <f t="shared" si="67"/>
        <v>1638.7394628469999</v>
      </c>
      <c r="V73" s="72">
        <v>7999</v>
      </c>
      <c r="W73" s="73">
        <f t="shared" si="68"/>
        <v>1032105.1991378079</v>
      </c>
      <c r="X73" s="84">
        <f t="shared" si="69"/>
        <v>1107871.5638811581</v>
      </c>
      <c r="Y73" s="32">
        <f t="shared" si="60"/>
        <v>816918.97450000001</v>
      </c>
      <c r="Z73" s="32">
        <f t="shared" si="61"/>
        <v>5309.9733342500003</v>
      </c>
      <c r="AA73" s="32">
        <f t="shared" si="62"/>
        <v>955.79520016499998</v>
      </c>
      <c r="AB73" s="32">
        <f t="shared" si="63"/>
        <v>6265.7685344150004</v>
      </c>
    </row>
    <row r="74" spans="1:28" ht="15.75" thickBot="1">
      <c r="A74" s="224"/>
      <c r="B74" s="186"/>
      <c r="C74" s="85" t="s">
        <v>27</v>
      </c>
      <c r="D74" s="86">
        <v>863914.7</v>
      </c>
      <c r="E74" s="106">
        <f t="shared" si="64"/>
        <v>35715.15213824177</v>
      </c>
      <c r="F74" s="86">
        <f t="shared" si="52"/>
        <v>98431.229340000005</v>
      </c>
      <c r="G74" s="86">
        <v>600</v>
      </c>
      <c r="H74" s="86">
        <v>2999</v>
      </c>
      <c r="I74" s="88">
        <f t="shared" si="65"/>
        <v>1001660.0814782417</v>
      </c>
      <c r="J74" s="86">
        <f t="shared" si="53"/>
        <v>863914.7</v>
      </c>
      <c r="K74" s="107">
        <f t="shared" si="54"/>
        <v>32538.933220825442</v>
      </c>
      <c r="L74" s="89">
        <f t="shared" si="55"/>
        <v>177738.59880000001</v>
      </c>
      <c r="M74" s="89">
        <v>600</v>
      </c>
      <c r="N74" s="86">
        <v>2999</v>
      </c>
      <c r="O74" s="88">
        <f t="shared" si="66"/>
        <v>1077791.2320208254</v>
      </c>
      <c r="P74" s="89">
        <v>7147</v>
      </c>
      <c r="Q74" s="89">
        <v>4834</v>
      </c>
      <c r="R74" s="89">
        <v>7100</v>
      </c>
      <c r="S74" s="89">
        <f t="shared" si="56"/>
        <v>6294.9144615499999</v>
      </c>
      <c r="T74" s="86">
        <f t="shared" si="57"/>
        <v>6294.9144615499999</v>
      </c>
      <c r="U74" s="89">
        <f t="shared" si="67"/>
        <v>1646.3622437899999</v>
      </c>
      <c r="V74" s="86">
        <v>7999</v>
      </c>
      <c r="W74" s="88">
        <f t="shared" ref="W74" si="80">I74+P74+Q74+S74+V74+R74+U74</f>
        <v>1036681.3581835816</v>
      </c>
      <c r="X74" s="101">
        <f t="shared" ref="X74" si="81">O74+P74+Q74+T74+V74+R74+U74</f>
        <v>1112812.5087261654</v>
      </c>
      <c r="Y74" s="32">
        <f t="shared" si="60"/>
        <v>820718.96499999997</v>
      </c>
      <c r="Z74" s="32">
        <f t="shared" si="61"/>
        <v>5334.6732725000002</v>
      </c>
      <c r="AA74" s="32">
        <f t="shared" si="62"/>
        <v>960.24118905000012</v>
      </c>
      <c r="AB74" s="32">
        <f t="shared" si="63"/>
        <v>6294.9144615499999</v>
      </c>
    </row>
    <row r="75" spans="1:28" ht="15.75" thickBot="1">
      <c r="E75" s="41"/>
      <c r="K75" s="41"/>
    </row>
    <row r="76" spans="1:28">
      <c r="A76" s="219" t="s">
        <v>77</v>
      </c>
      <c r="B76" s="184" t="s">
        <v>78</v>
      </c>
      <c r="C76" s="78" t="s">
        <v>26</v>
      </c>
      <c r="D76" s="79">
        <v>698581.77</v>
      </c>
      <c r="E76" s="106">
        <f t="shared" ref="E76:E91" si="82">((D76*95%*3.283%)-((D76*95%*3.283%)*40%)+13434)+((D76*95%*3.283%)-((D76*95%*3.283%)*40%)+13434)*18%+(D76*95%*0.1%+250)+(D76*95%*0.1%+250)*18%-IF((((D76*95%*3.283%)-((D76*95%*3.283%)*40%))*2.5%)&gt;500,500,(((D76*95%*3.283%)-((D76*95%*3.283%)*40%))*2.5%))-IF((((D76*95%*3.283%)-((D76*95%*3.283%)*40%))*2.5%)&gt;500,500,(((D76*95%*3.283%)-((D76*95%*3.283%)*40%))*2.5%))*18%</f>
        <v>31970.291577645141</v>
      </c>
      <c r="F76" s="79">
        <f t="shared" ref="F76:F91" si="83">(D76*13/100)+(D76*13/100)*2/100+1500</f>
        <v>94131.942702</v>
      </c>
      <c r="G76" s="79">
        <v>600</v>
      </c>
      <c r="H76" s="79">
        <v>2999</v>
      </c>
      <c r="I76" s="80">
        <f>D76+E76+F76+H76+G76</f>
        <v>828283.00427964516</v>
      </c>
      <c r="J76" s="79">
        <f t="shared" ref="J76:J91" si="84">D76</f>
        <v>698581.77</v>
      </c>
      <c r="K76" s="105">
        <f t="shared" ref="K76:K91" si="85">((J76*95%*3.191%)-((J76*95%*3.191%)*40%)+11184)+((J76*95%*3.191%)-((J76*95%*3.191%)*40%)+11184)*18%+(J76*95%*0.1%+250)+(J76*95%*0.1%+250)*18%-IF((((J76*95%*3.191%)-((J76*95%*3.191%)*40%))*2.5%)&gt;500,500,(((J76*95%*3.191%)-((J76*95%*3.191%)*40%))*2.5%))-IF((((J76*95%*3.191%)-((J76*95%*3.191%)*40%))*2.5%)&gt;500,500,(((J76*95%*3.191%)-((J76*95%*3.191%)*40%))*2.5%))*18%</f>
        <v>28893.821687288848</v>
      </c>
      <c r="L76" s="82">
        <f t="shared" ref="L76:L91" si="86">(J76*20/100)+(J76*20/100)*2/100+1500</f>
        <v>144010.68107999998</v>
      </c>
      <c r="M76" s="82">
        <v>600</v>
      </c>
      <c r="N76" s="79">
        <v>2999</v>
      </c>
      <c r="O76" s="80">
        <f>J76+K76+L76+N76+M76</f>
        <v>875085.27276728884</v>
      </c>
      <c r="P76" s="82">
        <v>7514</v>
      </c>
      <c r="Q76" s="82">
        <v>4834</v>
      </c>
      <c r="R76" s="82">
        <v>7100</v>
      </c>
      <c r="S76" s="82">
        <f t="shared" ref="S76:S91" si="87">AB76</f>
        <v>5090.2160671050005</v>
      </c>
      <c r="T76" s="82">
        <f t="shared" ref="T76:T91" si="88">AB76</f>
        <v>5090.2160671050005</v>
      </c>
      <c r="U76" s="82">
        <f t="shared" si="67"/>
        <v>1331.2872790889999</v>
      </c>
      <c r="V76" s="82">
        <v>7999</v>
      </c>
      <c r="W76" s="80">
        <f t="shared" ref="W76" si="89">I76+P76+Q76+S76+V76+R76+U76</f>
        <v>862151.50762583909</v>
      </c>
      <c r="X76" s="83">
        <f t="shared" ref="X76" si="90">O76+P76+Q76+T76+V76+R76+U76</f>
        <v>908953.77611348277</v>
      </c>
      <c r="Y76" s="32">
        <f t="shared" ref="Y76:Y91" si="91">D76*95/100</f>
        <v>663652.68149999995</v>
      </c>
      <c r="Z76" s="32">
        <f t="shared" ref="Z76:Z91" si="92">Y76*0.65/100</f>
        <v>4313.7424297500002</v>
      </c>
      <c r="AA76" s="32">
        <f t="shared" ref="AA76:AA91" si="93">Z76*18/100</f>
        <v>776.47363735499994</v>
      </c>
      <c r="AB76" s="32">
        <f t="shared" ref="AB76:AB91" si="94">Z76+AA76</f>
        <v>5090.2160671050005</v>
      </c>
    </row>
    <row r="77" spans="1:28">
      <c r="A77" s="220"/>
      <c r="B77" s="185"/>
      <c r="C77" s="71" t="s">
        <v>27</v>
      </c>
      <c r="D77" s="72">
        <v>702581.76000000001</v>
      </c>
      <c r="E77" s="106">
        <f t="shared" si="82"/>
        <v>32060.893037340928</v>
      </c>
      <c r="F77" s="72">
        <f t="shared" si="83"/>
        <v>94662.341376000011</v>
      </c>
      <c r="G77" s="72">
        <v>600</v>
      </c>
      <c r="H77" s="72">
        <v>2999</v>
      </c>
      <c r="I77" s="73">
        <f t="shared" ref="I77:I91" si="95">D77+E77+F77+H77+G77</f>
        <v>832903.99441334093</v>
      </c>
      <c r="J77" s="72">
        <f t="shared" si="84"/>
        <v>702581.76000000001</v>
      </c>
      <c r="K77" s="106">
        <f t="shared" si="85"/>
        <v>28982.009864217856</v>
      </c>
      <c r="L77" s="75">
        <f t="shared" si="86"/>
        <v>144826.67903999999</v>
      </c>
      <c r="M77" s="75">
        <v>600</v>
      </c>
      <c r="N77" s="72">
        <v>2999</v>
      </c>
      <c r="O77" s="73">
        <f t="shared" ref="O77:O91" si="96">J77+K77+L77+N77+M77</f>
        <v>879989.4489042178</v>
      </c>
      <c r="P77" s="75">
        <v>7514</v>
      </c>
      <c r="Q77" s="75">
        <v>4834</v>
      </c>
      <c r="R77" s="75">
        <v>7100</v>
      </c>
      <c r="S77" s="75">
        <f t="shared" si="87"/>
        <v>5119.3619942400001</v>
      </c>
      <c r="T77" s="75">
        <f t="shared" si="88"/>
        <v>5119.3619942400001</v>
      </c>
      <c r="U77" s="75">
        <f t="shared" si="67"/>
        <v>1338.910060032</v>
      </c>
      <c r="V77" s="75">
        <v>7999</v>
      </c>
      <c r="W77" s="73">
        <f t="shared" ref="W77:W91" si="97">I77+P77+Q77+S77+V77+R77+U77</f>
        <v>866809.26646761294</v>
      </c>
      <c r="X77" s="84">
        <f t="shared" ref="X77:X91" si="98">O77+P77+Q77+T77+V77+R77+U77</f>
        <v>913894.72095848981</v>
      </c>
      <c r="Y77" s="32">
        <f t="shared" si="91"/>
        <v>667452.67200000002</v>
      </c>
      <c r="Z77" s="32">
        <f t="shared" si="92"/>
        <v>4338.442368</v>
      </c>
      <c r="AA77" s="32">
        <f t="shared" si="93"/>
        <v>780.91962624000007</v>
      </c>
      <c r="AB77" s="32">
        <f t="shared" si="94"/>
        <v>5119.3619942400001</v>
      </c>
    </row>
    <row r="78" spans="1:28">
      <c r="A78" s="220"/>
      <c r="B78" s="185" t="s">
        <v>79</v>
      </c>
      <c r="C78" s="71" t="s">
        <v>26</v>
      </c>
      <c r="D78" s="72">
        <v>710441.77</v>
      </c>
      <c r="E78" s="106">
        <f t="shared" si="82"/>
        <v>32238.925577228139</v>
      </c>
      <c r="F78" s="72">
        <f t="shared" si="83"/>
        <v>95704.578701999999</v>
      </c>
      <c r="G78" s="72">
        <v>600</v>
      </c>
      <c r="H78" s="72">
        <v>2999</v>
      </c>
      <c r="I78" s="73">
        <f t="shared" si="95"/>
        <v>841984.27427922818</v>
      </c>
      <c r="J78" s="72">
        <f t="shared" si="84"/>
        <v>710441.77</v>
      </c>
      <c r="K78" s="106">
        <f t="shared" si="85"/>
        <v>29155.300285579851</v>
      </c>
      <c r="L78" s="75">
        <f t="shared" si="86"/>
        <v>146430.12107999998</v>
      </c>
      <c r="M78" s="75">
        <v>600</v>
      </c>
      <c r="N78" s="72">
        <v>2999</v>
      </c>
      <c r="O78" s="73">
        <f t="shared" si="96"/>
        <v>889626.19136557984</v>
      </c>
      <c r="P78" s="75">
        <v>7514</v>
      </c>
      <c r="Q78" s="75">
        <v>4834</v>
      </c>
      <c r="R78" s="75">
        <v>7100</v>
      </c>
      <c r="S78" s="75">
        <f t="shared" si="87"/>
        <v>5176.6339571050012</v>
      </c>
      <c r="T78" s="75">
        <f t="shared" si="88"/>
        <v>5176.6339571050012</v>
      </c>
      <c r="U78" s="75">
        <f t="shared" si="67"/>
        <v>1353.8888810889998</v>
      </c>
      <c r="V78" s="75">
        <v>7999</v>
      </c>
      <c r="W78" s="73">
        <f t="shared" si="97"/>
        <v>875961.79711742222</v>
      </c>
      <c r="X78" s="84">
        <f t="shared" si="98"/>
        <v>923603.71420377388</v>
      </c>
      <c r="Y78" s="39">
        <f t="shared" si="91"/>
        <v>674919.68150000006</v>
      </c>
      <c r="Z78" s="39">
        <f t="shared" si="92"/>
        <v>4386.9779297500008</v>
      </c>
      <c r="AA78" s="32">
        <f t="shared" si="93"/>
        <v>789.65602735500011</v>
      </c>
      <c r="AB78" s="39">
        <f t="shared" si="94"/>
        <v>5176.6339571050012</v>
      </c>
    </row>
    <row r="79" spans="1:28">
      <c r="A79" s="220"/>
      <c r="B79" s="185"/>
      <c r="C79" s="71" t="s">
        <v>27</v>
      </c>
      <c r="D79" s="72">
        <v>714441.75</v>
      </c>
      <c r="E79" s="106">
        <f t="shared" si="82"/>
        <v>32329.526810419709</v>
      </c>
      <c r="F79" s="72">
        <f t="shared" si="83"/>
        <v>96234.976050000012</v>
      </c>
      <c r="G79" s="72">
        <v>600</v>
      </c>
      <c r="H79" s="72">
        <v>2999</v>
      </c>
      <c r="I79" s="73">
        <f t="shared" si="95"/>
        <v>846605.2528604198</v>
      </c>
      <c r="J79" s="72">
        <f t="shared" si="84"/>
        <v>714441.75</v>
      </c>
      <c r="K79" s="106">
        <f t="shared" si="85"/>
        <v>29243.48824203786</v>
      </c>
      <c r="L79" s="75">
        <f t="shared" si="86"/>
        <v>147246.117</v>
      </c>
      <c r="M79" s="75">
        <v>600</v>
      </c>
      <c r="N79" s="72">
        <v>2999</v>
      </c>
      <c r="O79" s="73">
        <f t="shared" si="96"/>
        <v>894530.3552420378</v>
      </c>
      <c r="P79" s="75">
        <v>7514</v>
      </c>
      <c r="Q79" s="75">
        <v>4834</v>
      </c>
      <c r="R79" s="75">
        <v>7100</v>
      </c>
      <c r="S79" s="75">
        <f t="shared" si="87"/>
        <v>5205.7798113749996</v>
      </c>
      <c r="T79" s="75">
        <f t="shared" si="88"/>
        <v>5205.7798113749996</v>
      </c>
      <c r="U79" s="75">
        <f t="shared" si="67"/>
        <v>1361.5116429749999</v>
      </c>
      <c r="V79" s="75">
        <v>7999</v>
      </c>
      <c r="W79" s="73">
        <f t="shared" si="97"/>
        <v>880619.5443147698</v>
      </c>
      <c r="X79" s="84">
        <f t="shared" si="98"/>
        <v>928544.64669638779</v>
      </c>
      <c r="Y79" s="32">
        <f t="shared" si="91"/>
        <v>678719.66249999998</v>
      </c>
      <c r="Z79" s="32">
        <f t="shared" si="92"/>
        <v>4411.6778062499998</v>
      </c>
      <c r="AA79" s="32">
        <f t="shared" si="93"/>
        <v>794.10200512500001</v>
      </c>
      <c r="AB79" s="32">
        <f t="shared" si="94"/>
        <v>5205.7798113749996</v>
      </c>
    </row>
    <row r="80" spans="1:28">
      <c r="A80" s="220"/>
      <c r="B80" s="185" t="s">
        <v>80</v>
      </c>
      <c r="C80" s="71" t="s">
        <v>26</v>
      </c>
      <c r="D80" s="72">
        <v>774174.71999999997</v>
      </c>
      <c r="E80" s="106">
        <f t="shared" si="82"/>
        <v>33682.503761353226</v>
      </c>
      <c r="F80" s="72">
        <f t="shared" si="83"/>
        <v>104155.56787199999</v>
      </c>
      <c r="G80" s="72">
        <v>600</v>
      </c>
      <c r="H80" s="72">
        <v>2999</v>
      </c>
      <c r="I80" s="73">
        <f t="shared" si="95"/>
        <v>915611.7916333531</v>
      </c>
      <c r="J80" s="72">
        <f t="shared" si="84"/>
        <v>774174.71999999997</v>
      </c>
      <c r="K80" s="106">
        <f t="shared" si="85"/>
        <v>30560.426966098428</v>
      </c>
      <c r="L80" s="75">
        <f t="shared" si="86"/>
        <v>159431.64288</v>
      </c>
      <c r="M80" s="75">
        <v>600</v>
      </c>
      <c r="N80" s="72">
        <v>2999</v>
      </c>
      <c r="O80" s="73">
        <f t="shared" si="96"/>
        <v>967765.78984609828</v>
      </c>
      <c r="P80" s="75">
        <v>7514</v>
      </c>
      <c r="Q80" s="75">
        <v>4834</v>
      </c>
      <c r="R80" s="75">
        <v>7100</v>
      </c>
      <c r="S80" s="75">
        <f t="shared" si="87"/>
        <v>5641.0240972800002</v>
      </c>
      <c r="T80" s="75">
        <f t="shared" si="88"/>
        <v>5641.0240972800002</v>
      </c>
      <c r="U80" s="75">
        <f t="shared" si="67"/>
        <v>1475.3447639039998</v>
      </c>
      <c r="V80" s="75">
        <v>7999</v>
      </c>
      <c r="W80" s="73">
        <f t="shared" si="97"/>
        <v>950175.16049453709</v>
      </c>
      <c r="X80" s="84">
        <f t="shared" si="98"/>
        <v>1002329.1587072823</v>
      </c>
      <c r="Y80" s="32">
        <f t="shared" si="91"/>
        <v>735465.98399999994</v>
      </c>
      <c r="Z80" s="32">
        <f t="shared" si="92"/>
        <v>4780.5288959999998</v>
      </c>
      <c r="AA80" s="32">
        <f t="shared" si="93"/>
        <v>860.49520128000006</v>
      </c>
      <c r="AB80" s="32">
        <f t="shared" si="94"/>
        <v>5641.0240972800002</v>
      </c>
    </row>
    <row r="81" spans="1:28">
      <c r="A81" s="220"/>
      <c r="B81" s="185"/>
      <c r="C81" s="71" t="s">
        <v>27</v>
      </c>
      <c r="D81" s="72">
        <v>778174.76</v>
      </c>
      <c r="E81" s="106">
        <f t="shared" si="82"/>
        <v>33773.106353570081</v>
      </c>
      <c r="F81" s="72">
        <f t="shared" si="83"/>
        <v>104685.973176</v>
      </c>
      <c r="G81" s="72">
        <v>600</v>
      </c>
      <c r="H81" s="72">
        <v>2999</v>
      </c>
      <c r="I81" s="73">
        <f t="shared" si="95"/>
        <v>920232.83952957019</v>
      </c>
      <c r="J81" s="72">
        <f t="shared" si="84"/>
        <v>778174.76</v>
      </c>
      <c r="K81" s="106">
        <f t="shared" si="85"/>
        <v>30648.616245382407</v>
      </c>
      <c r="L81" s="75">
        <f t="shared" si="86"/>
        <v>160247.65104</v>
      </c>
      <c r="M81" s="75">
        <v>600</v>
      </c>
      <c r="N81" s="72">
        <v>2999</v>
      </c>
      <c r="O81" s="73">
        <f t="shared" si="96"/>
        <v>972670.0272853825</v>
      </c>
      <c r="P81" s="75">
        <v>7514</v>
      </c>
      <c r="Q81" s="75">
        <v>4834</v>
      </c>
      <c r="R81" s="75">
        <v>7100</v>
      </c>
      <c r="S81" s="75">
        <f t="shared" si="87"/>
        <v>5670.1703887400008</v>
      </c>
      <c r="T81" s="75">
        <f t="shared" si="88"/>
        <v>5670.1703887400008</v>
      </c>
      <c r="U81" s="75">
        <f t="shared" si="67"/>
        <v>1482.967640132</v>
      </c>
      <c r="V81" s="75">
        <v>7999</v>
      </c>
      <c r="W81" s="73">
        <f t="shared" si="97"/>
        <v>954832.97755844216</v>
      </c>
      <c r="X81" s="84">
        <f t="shared" si="98"/>
        <v>1007270.1653142545</v>
      </c>
      <c r="Y81" s="32">
        <f t="shared" si="91"/>
        <v>739266.022</v>
      </c>
      <c r="Z81" s="32">
        <f t="shared" si="92"/>
        <v>4805.2291430000005</v>
      </c>
      <c r="AA81" s="32">
        <f t="shared" si="93"/>
        <v>864.94124574000011</v>
      </c>
      <c r="AB81" s="32">
        <f t="shared" si="94"/>
        <v>5670.1703887400008</v>
      </c>
    </row>
    <row r="82" spans="1:28">
      <c r="A82" s="220"/>
      <c r="B82" s="185" t="s">
        <v>81</v>
      </c>
      <c r="C82" s="71" t="s">
        <v>26</v>
      </c>
      <c r="D82" s="72">
        <v>786030.73</v>
      </c>
      <c r="E82" s="106">
        <f t="shared" si="82"/>
        <v>33951.047385754231</v>
      </c>
      <c r="F82" s="72">
        <f t="shared" si="83"/>
        <v>105727.67479800001</v>
      </c>
      <c r="G82" s="72">
        <v>600</v>
      </c>
      <c r="H82" s="72">
        <v>2999</v>
      </c>
      <c r="I82" s="73">
        <f t="shared" si="95"/>
        <v>929308.45218375418</v>
      </c>
      <c r="J82" s="72">
        <f t="shared" si="84"/>
        <v>786030.73</v>
      </c>
      <c r="K82" s="106">
        <f t="shared" si="85"/>
        <v>30821.817596463025</v>
      </c>
      <c r="L82" s="75">
        <f t="shared" si="86"/>
        <v>161850.26892</v>
      </c>
      <c r="M82" s="75">
        <v>600</v>
      </c>
      <c r="N82" s="72">
        <v>2999</v>
      </c>
      <c r="O82" s="73">
        <f t="shared" si="96"/>
        <v>982301.81651646295</v>
      </c>
      <c r="P82" s="75">
        <v>7514</v>
      </c>
      <c r="Q82" s="75">
        <v>4834</v>
      </c>
      <c r="R82" s="75">
        <v>7100</v>
      </c>
      <c r="S82" s="75">
        <f t="shared" si="87"/>
        <v>5727.4129141449994</v>
      </c>
      <c r="T82" s="75">
        <f t="shared" si="88"/>
        <v>5727.4129141449994</v>
      </c>
      <c r="U82" s="75">
        <f t="shared" si="67"/>
        <v>1497.9387621609999</v>
      </c>
      <c r="V82" s="75">
        <v>7999</v>
      </c>
      <c r="W82" s="73">
        <f t="shared" si="97"/>
        <v>963980.80386006017</v>
      </c>
      <c r="X82" s="84">
        <f t="shared" si="98"/>
        <v>1016974.1681927689</v>
      </c>
      <c r="Y82" s="32">
        <f t="shared" si="91"/>
        <v>746729.19349999994</v>
      </c>
      <c r="Z82" s="32">
        <f t="shared" si="92"/>
        <v>4853.7397577499996</v>
      </c>
      <c r="AA82" s="32">
        <f t="shared" si="93"/>
        <v>873.67315639499998</v>
      </c>
      <c r="AB82" s="32">
        <f t="shared" si="94"/>
        <v>5727.4129141449994</v>
      </c>
    </row>
    <row r="83" spans="1:28">
      <c r="A83" s="220"/>
      <c r="B83" s="185"/>
      <c r="C83" s="71" t="s">
        <v>27</v>
      </c>
      <c r="D83" s="72">
        <v>790030.73</v>
      </c>
      <c r="E83" s="106">
        <f t="shared" si="82"/>
        <v>34041.64907195422</v>
      </c>
      <c r="F83" s="72">
        <f t="shared" si="83"/>
        <v>106258.074798</v>
      </c>
      <c r="G83" s="72">
        <v>600</v>
      </c>
      <c r="H83" s="72">
        <v>2999</v>
      </c>
      <c r="I83" s="73">
        <f t="shared" si="95"/>
        <v>933929.45386995422</v>
      </c>
      <c r="J83" s="72">
        <f t="shared" si="84"/>
        <v>790030.73</v>
      </c>
      <c r="K83" s="106">
        <f t="shared" si="85"/>
        <v>30910.005993863026</v>
      </c>
      <c r="L83" s="75">
        <f t="shared" si="86"/>
        <v>162666.26892</v>
      </c>
      <c r="M83" s="75">
        <v>600</v>
      </c>
      <c r="N83" s="72">
        <v>2999</v>
      </c>
      <c r="O83" s="73">
        <f t="shared" si="96"/>
        <v>987206.00491386303</v>
      </c>
      <c r="P83" s="75">
        <v>7514</v>
      </c>
      <c r="Q83" s="75">
        <v>4834</v>
      </c>
      <c r="R83" s="75">
        <v>7100</v>
      </c>
      <c r="S83" s="75">
        <f t="shared" si="87"/>
        <v>5756.558914145</v>
      </c>
      <c r="T83" s="75">
        <f t="shared" si="88"/>
        <v>5756.558914145</v>
      </c>
      <c r="U83" s="75">
        <f t="shared" si="67"/>
        <v>1505.561562161</v>
      </c>
      <c r="V83" s="75">
        <v>7999</v>
      </c>
      <c r="W83" s="73">
        <f t="shared" si="97"/>
        <v>968638.57434626017</v>
      </c>
      <c r="X83" s="84">
        <f t="shared" si="98"/>
        <v>1021915.125390169</v>
      </c>
      <c r="Y83" s="32">
        <f t="shared" si="91"/>
        <v>750529.19349999994</v>
      </c>
      <c r="Z83" s="32">
        <f t="shared" si="92"/>
        <v>4878.4397577500004</v>
      </c>
      <c r="AA83" s="32">
        <f t="shared" si="93"/>
        <v>878.119156395</v>
      </c>
      <c r="AB83" s="32">
        <f t="shared" si="94"/>
        <v>5756.558914145</v>
      </c>
    </row>
    <row r="84" spans="1:28">
      <c r="A84" s="220"/>
      <c r="B84" s="247" t="s">
        <v>132</v>
      </c>
      <c r="C84" s="71" t="s">
        <v>26</v>
      </c>
      <c r="D84" s="72">
        <v>796030.72</v>
      </c>
      <c r="E84" s="106">
        <f t="shared" si="82"/>
        <v>34177.551374750023</v>
      </c>
      <c r="F84" s="72">
        <f t="shared" si="83"/>
        <v>107053.67347199998</v>
      </c>
      <c r="G84" s="72">
        <v>600</v>
      </c>
      <c r="H84" s="72">
        <v>2999</v>
      </c>
      <c r="I84" s="73">
        <f t="shared" si="95"/>
        <v>940860.94484674989</v>
      </c>
      <c r="J84" s="72">
        <f t="shared" si="84"/>
        <v>796030.72</v>
      </c>
      <c r="K84" s="106">
        <f t="shared" si="85"/>
        <v>31042.288369492031</v>
      </c>
      <c r="L84" s="75">
        <f t="shared" si="86"/>
        <v>163890.26687999998</v>
      </c>
      <c r="M84" s="75">
        <v>600</v>
      </c>
      <c r="N84" s="72">
        <v>2999</v>
      </c>
      <c r="O84" s="73">
        <f t="shared" si="96"/>
        <v>994562.27524949203</v>
      </c>
      <c r="P84" s="75">
        <v>7514</v>
      </c>
      <c r="Q84" s="75">
        <v>4834</v>
      </c>
      <c r="R84" s="75">
        <v>7100</v>
      </c>
      <c r="S84" s="75">
        <f t="shared" si="87"/>
        <v>5800.2778412799998</v>
      </c>
      <c r="T84" s="75">
        <f t="shared" si="88"/>
        <v>5800.2778412799998</v>
      </c>
      <c r="U84" s="75">
        <f t="shared" si="67"/>
        <v>1516.9957431039998</v>
      </c>
      <c r="V84" s="75">
        <v>7999</v>
      </c>
      <c r="W84" s="73">
        <f t="shared" si="97"/>
        <v>975625.21843113389</v>
      </c>
      <c r="X84" s="84">
        <f t="shared" si="98"/>
        <v>1029326.548833876</v>
      </c>
      <c r="Y84" s="32">
        <f t="shared" si="91"/>
        <v>756229.18399999989</v>
      </c>
      <c r="Z84" s="32">
        <f t="shared" si="92"/>
        <v>4915.4896959999996</v>
      </c>
      <c r="AA84" s="32">
        <f t="shared" si="93"/>
        <v>884.78814527999987</v>
      </c>
      <c r="AB84" s="32">
        <f t="shared" si="94"/>
        <v>5800.2778412799998</v>
      </c>
    </row>
    <row r="85" spans="1:28">
      <c r="A85" s="220"/>
      <c r="B85" s="247"/>
      <c r="C85" s="71" t="s">
        <v>27</v>
      </c>
      <c r="D85" s="72">
        <v>800030.71999999997</v>
      </c>
      <c r="E85" s="106">
        <f t="shared" si="82"/>
        <v>34268.153060950011</v>
      </c>
      <c r="F85" s="72">
        <f t="shared" si="83"/>
        <v>107584.07347199999</v>
      </c>
      <c r="G85" s="72">
        <v>600</v>
      </c>
      <c r="H85" s="72">
        <v>2999</v>
      </c>
      <c r="I85" s="73">
        <f t="shared" si="95"/>
        <v>945481.94653294992</v>
      </c>
      <c r="J85" s="72">
        <f t="shared" si="84"/>
        <v>800030.71999999997</v>
      </c>
      <c r="K85" s="106">
        <f t="shared" si="85"/>
        <v>31130.476766892029</v>
      </c>
      <c r="L85" s="75">
        <f t="shared" si="86"/>
        <v>164706.26687999998</v>
      </c>
      <c r="M85" s="75">
        <v>600</v>
      </c>
      <c r="N85" s="72">
        <v>2999</v>
      </c>
      <c r="O85" s="73">
        <f t="shared" si="96"/>
        <v>999466.46364689199</v>
      </c>
      <c r="P85" s="75">
        <v>7514</v>
      </c>
      <c r="Q85" s="75">
        <v>4834</v>
      </c>
      <c r="R85" s="75">
        <v>7100</v>
      </c>
      <c r="S85" s="75">
        <f t="shared" si="87"/>
        <v>5829.4238412799996</v>
      </c>
      <c r="T85" s="75">
        <f t="shared" si="88"/>
        <v>5829.4238412799996</v>
      </c>
      <c r="U85" s="75">
        <f t="shared" si="67"/>
        <v>1524.6185431039999</v>
      </c>
      <c r="V85" s="75">
        <v>7999</v>
      </c>
      <c r="W85" s="73">
        <f t="shared" si="97"/>
        <v>980282.98891733401</v>
      </c>
      <c r="X85" s="84">
        <f t="shared" si="98"/>
        <v>1034267.5060312761</v>
      </c>
      <c r="Y85" s="32">
        <f t="shared" si="91"/>
        <v>760029.18399999989</v>
      </c>
      <c r="Z85" s="32">
        <f t="shared" si="92"/>
        <v>4940.1896959999995</v>
      </c>
      <c r="AA85" s="32">
        <f t="shared" si="93"/>
        <v>889.23414527999989</v>
      </c>
      <c r="AB85" s="32">
        <f t="shared" si="94"/>
        <v>5829.4238412799996</v>
      </c>
    </row>
    <row r="86" spans="1:28">
      <c r="A86" s="220"/>
      <c r="B86" s="247" t="s">
        <v>140</v>
      </c>
      <c r="C86" s="71" t="s">
        <v>26</v>
      </c>
      <c r="D86" s="72">
        <v>796030.72</v>
      </c>
      <c r="E86" s="106">
        <f t="shared" si="82"/>
        <v>34177.551374750023</v>
      </c>
      <c r="F86" s="72">
        <f t="shared" si="83"/>
        <v>107053.67347199998</v>
      </c>
      <c r="G86" s="72">
        <v>600</v>
      </c>
      <c r="H86" s="72">
        <v>2999</v>
      </c>
      <c r="I86" s="73">
        <f t="shared" ref="I86:I87" si="99">D86+E86+F86+H86+G86</f>
        <v>940860.94484674989</v>
      </c>
      <c r="J86" s="72">
        <f t="shared" ref="J86:J87" si="100">D86</f>
        <v>796030.72</v>
      </c>
      <c r="K86" s="106">
        <f t="shared" si="85"/>
        <v>31042.288369492031</v>
      </c>
      <c r="L86" s="75">
        <f t="shared" si="86"/>
        <v>163890.26687999998</v>
      </c>
      <c r="M86" s="75">
        <v>600</v>
      </c>
      <c r="N86" s="72">
        <v>2999</v>
      </c>
      <c r="O86" s="73">
        <f t="shared" ref="O86:O87" si="101">J86+K86+L86+N86+M86</f>
        <v>994562.27524949203</v>
      </c>
      <c r="P86" s="75">
        <v>7514</v>
      </c>
      <c r="Q86" s="75">
        <v>4834</v>
      </c>
      <c r="R86" s="75">
        <v>7100</v>
      </c>
      <c r="S86" s="75">
        <f t="shared" ref="S86:S87" si="102">AB86</f>
        <v>5800.2778412799998</v>
      </c>
      <c r="T86" s="75">
        <f t="shared" ref="T86:T87" si="103">AB86</f>
        <v>5800.2778412799998</v>
      </c>
      <c r="U86" s="75">
        <f t="shared" ref="U86:U87" si="104">((D86*95%)*0.17%)*1.18</f>
        <v>1516.9957431039998</v>
      </c>
      <c r="V86" s="75">
        <v>7999</v>
      </c>
      <c r="W86" s="73">
        <f t="shared" si="97"/>
        <v>975625.21843113389</v>
      </c>
      <c r="X86" s="84">
        <f t="shared" si="98"/>
        <v>1029326.548833876</v>
      </c>
      <c r="Y86" s="32">
        <f t="shared" ref="Y86:Y87" si="105">D86*95/100</f>
        <v>756229.18399999989</v>
      </c>
      <c r="Z86" s="32">
        <f t="shared" ref="Z86:Z87" si="106">Y86*0.65/100</f>
        <v>4915.4896959999996</v>
      </c>
      <c r="AA86" s="32">
        <f t="shared" ref="AA86:AA87" si="107">Z86*18/100</f>
        <v>884.78814527999987</v>
      </c>
      <c r="AB86" s="32">
        <f t="shared" ref="AB86:AB87" si="108">Z86+AA86</f>
        <v>5800.2778412799998</v>
      </c>
    </row>
    <row r="87" spans="1:28">
      <c r="A87" s="220"/>
      <c r="B87" s="247"/>
      <c r="C87" s="71" t="s">
        <v>27</v>
      </c>
      <c r="D87" s="72">
        <v>800030.71999999997</v>
      </c>
      <c r="E87" s="106">
        <f t="shared" si="82"/>
        <v>34268.153060950011</v>
      </c>
      <c r="F87" s="72">
        <f t="shared" si="83"/>
        <v>107584.07347199999</v>
      </c>
      <c r="G87" s="72">
        <v>600</v>
      </c>
      <c r="H87" s="72">
        <v>2999</v>
      </c>
      <c r="I87" s="73">
        <f t="shared" si="99"/>
        <v>945481.94653294992</v>
      </c>
      <c r="J87" s="72">
        <f t="shared" si="100"/>
        <v>800030.71999999997</v>
      </c>
      <c r="K87" s="106">
        <f t="shared" si="85"/>
        <v>31130.476766892029</v>
      </c>
      <c r="L87" s="75">
        <f t="shared" si="86"/>
        <v>164706.26687999998</v>
      </c>
      <c r="M87" s="75">
        <v>600</v>
      </c>
      <c r="N87" s="72">
        <v>2999</v>
      </c>
      <c r="O87" s="73">
        <f t="shared" si="101"/>
        <v>999466.46364689199</v>
      </c>
      <c r="P87" s="75">
        <v>7514</v>
      </c>
      <c r="Q87" s="75">
        <v>4834</v>
      </c>
      <c r="R87" s="75">
        <v>7100</v>
      </c>
      <c r="S87" s="75">
        <f t="shared" si="102"/>
        <v>5829.4238412799996</v>
      </c>
      <c r="T87" s="75">
        <f t="shared" si="103"/>
        <v>5829.4238412799996</v>
      </c>
      <c r="U87" s="75">
        <f t="shared" si="104"/>
        <v>1524.6185431039999</v>
      </c>
      <c r="V87" s="75">
        <v>7999</v>
      </c>
      <c r="W87" s="73">
        <f t="shared" si="97"/>
        <v>980282.98891733401</v>
      </c>
      <c r="X87" s="84">
        <f t="shared" si="98"/>
        <v>1034267.5060312761</v>
      </c>
      <c r="Y87" s="32">
        <f t="shared" si="105"/>
        <v>760029.18399999989</v>
      </c>
      <c r="Z87" s="32">
        <f t="shared" si="106"/>
        <v>4940.1896959999995</v>
      </c>
      <c r="AA87" s="32">
        <f t="shared" si="107"/>
        <v>889.23414527999989</v>
      </c>
      <c r="AB87" s="32">
        <f t="shared" si="108"/>
        <v>5829.4238412799996</v>
      </c>
    </row>
    <row r="88" spans="1:28">
      <c r="A88" s="220"/>
      <c r="B88" s="185" t="s">
        <v>82</v>
      </c>
      <c r="C88" s="71" t="s">
        <v>26</v>
      </c>
      <c r="D88" s="72">
        <v>825851.7</v>
      </c>
      <c r="E88" s="106">
        <f t="shared" si="82"/>
        <v>34853.009142784133</v>
      </c>
      <c r="F88" s="72">
        <f t="shared" si="83"/>
        <v>111007.93541999999</v>
      </c>
      <c r="G88" s="72">
        <v>600</v>
      </c>
      <c r="H88" s="72">
        <v>2999</v>
      </c>
      <c r="I88" s="73">
        <f t="shared" si="95"/>
        <v>975311.64456278412</v>
      </c>
      <c r="J88" s="72">
        <f t="shared" si="84"/>
        <v>825851.7</v>
      </c>
      <c r="K88" s="106">
        <f t="shared" si="85"/>
        <v>31699.754478266394</v>
      </c>
      <c r="L88" s="75">
        <f t="shared" si="86"/>
        <v>169973.74679999999</v>
      </c>
      <c r="M88" s="75">
        <v>600</v>
      </c>
      <c r="N88" s="72">
        <v>2999</v>
      </c>
      <c r="O88" s="73">
        <f t="shared" si="96"/>
        <v>1031124.2012782663</v>
      </c>
      <c r="P88" s="75">
        <v>7514</v>
      </c>
      <c r="Q88" s="75">
        <v>4834</v>
      </c>
      <c r="R88" s="75">
        <v>7100</v>
      </c>
      <c r="S88" s="75">
        <f t="shared" si="87"/>
        <v>6017.56841205</v>
      </c>
      <c r="T88" s="75">
        <f t="shared" si="88"/>
        <v>6017.56841205</v>
      </c>
      <c r="U88" s="75">
        <f t="shared" si="67"/>
        <v>1573.8255846899999</v>
      </c>
      <c r="V88" s="75">
        <v>7999</v>
      </c>
      <c r="W88" s="73">
        <f t="shared" si="97"/>
        <v>1010350.0385595241</v>
      </c>
      <c r="X88" s="84">
        <f t="shared" si="98"/>
        <v>1066162.5952750063</v>
      </c>
      <c r="Y88" s="32">
        <f t="shared" si="91"/>
        <v>784559.11499999999</v>
      </c>
      <c r="Z88" s="32">
        <f t="shared" si="92"/>
        <v>5099.6342475000001</v>
      </c>
      <c r="AA88" s="32">
        <f t="shared" si="93"/>
        <v>917.93416454999999</v>
      </c>
      <c r="AB88" s="32">
        <f t="shared" si="94"/>
        <v>6017.56841205</v>
      </c>
    </row>
    <row r="89" spans="1:28">
      <c r="A89" s="220"/>
      <c r="B89" s="185"/>
      <c r="C89" s="71" t="s">
        <v>27</v>
      </c>
      <c r="D89" s="72">
        <v>829851.72</v>
      </c>
      <c r="E89" s="106">
        <f t="shared" si="82"/>
        <v>34943.611281992555</v>
      </c>
      <c r="F89" s="72">
        <f t="shared" si="83"/>
        <v>111538.338072</v>
      </c>
      <c r="G89" s="72">
        <v>600</v>
      </c>
      <c r="H89" s="72">
        <v>2999</v>
      </c>
      <c r="I89" s="73">
        <f t="shared" si="95"/>
        <v>979932.66935399245</v>
      </c>
      <c r="J89" s="72">
        <f t="shared" si="84"/>
        <v>829851.72</v>
      </c>
      <c r="K89" s="106">
        <f t="shared" si="85"/>
        <v>31787.94331660838</v>
      </c>
      <c r="L89" s="75">
        <f t="shared" si="86"/>
        <v>170789.75087999998</v>
      </c>
      <c r="M89" s="75">
        <v>600</v>
      </c>
      <c r="N89" s="72">
        <v>2999</v>
      </c>
      <c r="O89" s="73">
        <f t="shared" si="96"/>
        <v>1036028.4141966084</v>
      </c>
      <c r="P89" s="75">
        <v>7514</v>
      </c>
      <c r="Q89" s="75">
        <v>4834</v>
      </c>
      <c r="R89" s="75">
        <v>7100</v>
      </c>
      <c r="S89" s="75">
        <f t="shared" si="87"/>
        <v>6046.7145577800002</v>
      </c>
      <c r="T89" s="75">
        <f t="shared" si="88"/>
        <v>6046.7145577800002</v>
      </c>
      <c r="U89" s="75">
        <f t="shared" si="67"/>
        <v>1581.4484228040001</v>
      </c>
      <c r="V89" s="75">
        <v>7999</v>
      </c>
      <c r="W89" s="73">
        <f t="shared" si="97"/>
        <v>1015007.8323345764</v>
      </c>
      <c r="X89" s="84">
        <f t="shared" si="98"/>
        <v>1071103.5771771923</v>
      </c>
      <c r="Y89" s="32">
        <f t="shared" si="91"/>
        <v>788359.13399999996</v>
      </c>
      <c r="Z89" s="32">
        <f t="shared" si="92"/>
        <v>5124.3343709999999</v>
      </c>
      <c r="AA89" s="32">
        <f t="shared" si="93"/>
        <v>922.38018677999992</v>
      </c>
      <c r="AB89" s="32">
        <f t="shared" si="94"/>
        <v>6046.7145577800002</v>
      </c>
    </row>
    <row r="90" spans="1:28">
      <c r="A90" s="220"/>
      <c r="B90" s="185" t="s">
        <v>83</v>
      </c>
      <c r="C90" s="71" t="s">
        <v>26</v>
      </c>
      <c r="D90" s="72">
        <v>861324.7</v>
      </c>
      <c r="E90" s="106">
        <f t="shared" si="82"/>
        <v>35656.487546427277</v>
      </c>
      <c r="F90" s="72">
        <f t="shared" si="83"/>
        <v>115711.65522</v>
      </c>
      <c r="G90" s="72">
        <v>600</v>
      </c>
      <c r="H90" s="72">
        <v>2999</v>
      </c>
      <c r="I90" s="73">
        <f t="shared" si="95"/>
        <v>1016291.8427664272</v>
      </c>
      <c r="J90" s="72">
        <f t="shared" si="84"/>
        <v>861324.7</v>
      </c>
      <c r="K90" s="106">
        <f t="shared" si="85"/>
        <v>32481.831233508947</v>
      </c>
      <c r="L90" s="75">
        <f t="shared" si="86"/>
        <v>177210.23879999999</v>
      </c>
      <c r="M90" s="75">
        <v>600</v>
      </c>
      <c r="N90" s="72">
        <v>2999</v>
      </c>
      <c r="O90" s="73">
        <f t="shared" si="96"/>
        <v>1074615.770033509</v>
      </c>
      <c r="P90" s="75">
        <v>7514</v>
      </c>
      <c r="Q90" s="75">
        <v>4834</v>
      </c>
      <c r="R90" s="75">
        <v>7100</v>
      </c>
      <c r="S90" s="75">
        <f t="shared" si="87"/>
        <v>6276.0424265500005</v>
      </c>
      <c r="T90" s="75">
        <f t="shared" si="88"/>
        <v>6276.0424265500005</v>
      </c>
      <c r="U90" s="75">
        <f t="shared" si="67"/>
        <v>1641.4264807899999</v>
      </c>
      <c r="V90" s="75">
        <v>7999</v>
      </c>
      <c r="W90" s="73">
        <f t="shared" si="97"/>
        <v>1051656.3116737672</v>
      </c>
      <c r="X90" s="84">
        <f t="shared" si="98"/>
        <v>1109980.238940849</v>
      </c>
      <c r="Y90" s="32">
        <f t="shared" si="91"/>
        <v>818258.46499999997</v>
      </c>
      <c r="Z90" s="32">
        <f t="shared" si="92"/>
        <v>5318.6800225000006</v>
      </c>
      <c r="AA90" s="32">
        <f t="shared" si="93"/>
        <v>957.36240405000024</v>
      </c>
      <c r="AB90" s="32">
        <f t="shared" si="94"/>
        <v>6276.0424265500005</v>
      </c>
    </row>
    <row r="91" spans="1:28" ht="15.75" thickBot="1">
      <c r="A91" s="221"/>
      <c r="B91" s="186"/>
      <c r="C91" s="85" t="s">
        <v>27</v>
      </c>
      <c r="D91" s="86">
        <v>865324.71</v>
      </c>
      <c r="E91" s="106">
        <f t="shared" si="82"/>
        <v>35747.089459131501</v>
      </c>
      <c r="F91" s="86">
        <f t="shared" si="83"/>
        <v>116242.05654599999</v>
      </c>
      <c r="G91" s="86">
        <v>600</v>
      </c>
      <c r="H91" s="86">
        <v>2999</v>
      </c>
      <c r="I91" s="88">
        <f t="shared" si="95"/>
        <v>1020912.8560051314</v>
      </c>
      <c r="J91" s="86">
        <f t="shared" si="84"/>
        <v>865324.71</v>
      </c>
      <c r="K91" s="107">
        <f t="shared" si="85"/>
        <v>32570.019851379933</v>
      </c>
      <c r="L91" s="89">
        <f t="shared" si="86"/>
        <v>178026.24083999998</v>
      </c>
      <c r="M91" s="89">
        <v>600</v>
      </c>
      <c r="N91" s="86">
        <v>2999</v>
      </c>
      <c r="O91" s="88">
        <f t="shared" si="96"/>
        <v>1079519.9706913799</v>
      </c>
      <c r="P91" s="89">
        <v>7514</v>
      </c>
      <c r="Q91" s="89">
        <v>4834</v>
      </c>
      <c r="R91" s="89">
        <v>7100</v>
      </c>
      <c r="S91" s="89">
        <f t="shared" si="87"/>
        <v>6305.1884994150005</v>
      </c>
      <c r="T91" s="89">
        <f t="shared" si="88"/>
        <v>6305.1884994150005</v>
      </c>
      <c r="U91" s="89">
        <f t="shared" si="67"/>
        <v>1649.0492998469997</v>
      </c>
      <c r="V91" s="89">
        <v>7999</v>
      </c>
      <c r="W91" s="88">
        <f t="shared" si="97"/>
        <v>1056314.0938043934</v>
      </c>
      <c r="X91" s="101">
        <f t="shared" si="98"/>
        <v>1114921.208490642</v>
      </c>
      <c r="Y91" s="32">
        <f t="shared" si="91"/>
        <v>822058.47450000001</v>
      </c>
      <c r="Z91" s="32">
        <f t="shared" si="92"/>
        <v>5343.3800842500004</v>
      </c>
      <c r="AA91" s="32">
        <f t="shared" si="93"/>
        <v>961.80841516500004</v>
      </c>
      <c r="AB91" s="32">
        <f t="shared" si="94"/>
        <v>6305.1884994150005</v>
      </c>
    </row>
    <row r="92" spans="1:28" s="44" customFormat="1" ht="18" customHeight="1"/>
    <row r="93" spans="1:28" s="44" customFormat="1" ht="18.75">
      <c r="A93" s="63" t="s">
        <v>131</v>
      </c>
      <c r="B93" s="53"/>
      <c r="C93" s="52"/>
      <c r="D93" s="60"/>
      <c r="E93" s="54"/>
      <c r="F93" s="54"/>
      <c r="G93" s="54"/>
      <c r="H93" s="54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55"/>
    </row>
    <row r="94" spans="1:28" s="44" customFormat="1" ht="18.75">
      <c r="A94" s="63"/>
      <c r="B94" s="53"/>
      <c r="C94" s="52"/>
      <c r="D94" s="60"/>
      <c r="E94" s="54"/>
      <c r="F94" s="54"/>
      <c r="G94" s="54"/>
      <c r="H94" s="54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55"/>
    </row>
    <row r="95" spans="1:28" s="44" customFormat="1">
      <c r="A95" s="56" t="s">
        <v>52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7"/>
    </row>
    <row r="96" spans="1:28" s="44" customFormat="1">
      <c r="A96" s="61" t="s">
        <v>84</v>
      </c>
      <c r="B96" s="49"/>
      <c r="C96" s="47" t="s">
        <v>85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57"/>
    </row>
    <row r="97" spans="1:26" s="44" customFormat="1">
      <c r="A97" s="61" t="s">
        <v>86</v>
      </c>
      <c r="B97" s="49"/>
      <c r="C97" s="47" t="s">
        <v>87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57"/>
    </row>
    <row r="98" spans="1:26" s="44" customForma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57"/>
    </row>
    <row r="99" spans="1:26" s="44" customFormat="1">
      <c r="A99" s="58" t="s">
        <v>35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57"/>
    </row>
    <row r="100" spans="1:26" s="44" customFormat="1">
      <c r="A100" s="48" t="s">
        <v>36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50"/>
      <c r="W100" s="51"/>
      <c r="X100" s="51"/>
      <c r="Y100" s="51"/>
      <c r="Z100" s="51"/>
    </row>
    <row r="101" spans="1:26" s="44" customFormat="1">
      <c r="A101" s="52" t="s">
        <v>61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51"/>
      <c r="Y101" s="51"/>
      <c r="Z101" s="51"/>
    </row>
    <row r="102" spans="1:26" s="44" customFormat="1">
      <c r="A102" s="52" t="s">
        <v>38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51"/>
      <c r="Y102" s="51"/>
      <c r="Z102" s="51"/>
    </row>
    <row r="103" spans="1:26" s="44" customFormat="1">
      <c r="A103" s="62" t="s">
        <v>127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51"/>
      <c r="Y103" s="51"/>
      <c r="Z103" s="51"/>
    </row>
    <row r="104" spans="1:26" s="44" customFormat="1">
      <c r="A104" s="125" t="s">
        <v>176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124"/>
      <c r="Y104" s="51"/>
      <c r="Z104" s="51"/>
    </row>
    <row r="105" spans="1:26" s="44" customFormat="1" ht="12.75" customHeight="1">
      <c r="A105" s="62" t="s">
        <v>128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51"/>
      <c r="Y105" s="51"/>
      <c r="Z105" s="51"/>
    </row>
    <row r="106" spans="1:26" s="44" customFormat="1">
      <c r="A106" s="48" t="s">
        <v>39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51"/>
      <c r="Y106" s="51"/>
      <c r="Z106" s="51"/>
    </row>
    <row r="107" spans="1:26" s="44" customFormat="1" ht="12.75" customHeight="1">
      <c r="A107" s="48" t="s">
        <v>40</v>
      </c>
      <c r="B107" s="29"/>
      <c r="C107" s="29"/>
      <c r="D107" s="29"/>
      <c r="E107" s="29"/>
      <c r="F107" s="29"/>
      <c r="G107" s="69"/>
      <c r="H107" s="29"/>
      <c r="I107" s="29"/>
      <c r="J107" s="29"/>
      <c r="K107" s="29"/>
      <c r="L107" s="29"/>
      <c r="M107" s="69"/>
      <c r="N107" s="29"/>
      <c r="O107" s="29"/>
      <c r="P107" s="29"/>
      <c r="Q107" s="29"/>
      <c r="R107" s="29"/>
      <c r="S107" s="29"/>
      <c r="T107" s="29"/>
      <c r="U107" s="99"/>
      <c r="V107" s="29"/>
      <c r="W107" s="29"/>
      <c r="X107" s="29"/>
      <c r="Y107" s="29"/>
      <c r="Z107" s="29"/>
    </row>
    <row r="108" spans="1:26" s="44" customFormat="1" ht="12.75" customHeight="1">
      <c r="A108" s="181" t="s">
        <v>41</v>
      </c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</row>
    <row r="109" spans="1:26" s="44" customFormat="1">
      <c r="A109" s="48" t="s">
        <v>42</v>
      </c>
    </row>
    <row r="110" spans="1:26" s="44" customFormat="1">
      <c r="A110" s="48" t="s">
        <v>171</v>
      </c>
    </row>
    <row r="111" spans="1:26" s="44" customFormat="1"/>
  </sheetData>
  <sheetProtection selectLockedCells="1" selectUnlockedCells="1"/>
  <mergeCells count="63">
    <mergeCell ref="A1:X1"/>
    <mergeCell ref="A2:X2"/>
    <mergeCell ref="A3:X3"/>
    <mergeCell ref="A4:X4"/>
    <mergeCell ref="A5:X5"/>
    <mergeCell ref="A6:X6"/>
    <mergeCell ref="A7:X7"/>
    <mergeCell ref="A8:A9"/>
    <mergeCell ref="B8:C9"/>
    <mergeCell ref="D8:I8"/>
    <mergeCell ref="J8:O8"/>
    <mergeCell ref="P8:V8"/>
    <mergeCell ref="W8:X8"/>
    <mergeCell ref="A10:A31"/>
    <mergeCell ref="B10:B11"/>
    <mergeCell ref="B12:B13"/>
    <mergeCell ref="B14:B15"/>
    <mergeCell ref="B16:B17"/>
    <mergeCell ref="B22:B23"/>
    <mergeCell ref="B24:B25"/>
    <mergeCell ref="B26:B27"/>
    <mergeCell ref="B28:B29"/>
    <mergeCell ref="B30:B31"/>
    <mergeCell ref="B18:B19"/>
    <mergeCell ref="B20:B21"/>
    <mergeCell ref="A33:A48"/>
    <mergeCell ref="B33:B34"/>
    <mergeCell ref="B35:B36"/>
    <mergeCell ref="B37:B38"/>
    <mergeCell ref="B39:B40"/>
    <mergeCell ref="B45:B46"/>
    <mergeCell ref="B47:B48"/>
    <mergeCell ref="B41:B42"/>
    <mergeCell ref="B43:B44"/>
    <mergeCell ref="A50:X50"/>
    <mergeCell ref="A51:A52"/>
    <mergeCell ref="B51:C52"/>
    <mergeCell ref="D51:I51"/>
    <mergeCell ref="J51:O51"/>
    <mergeCell ref="P51:V51"/>
    <mergeCell ref="W51:X51"/>
    <mergeCell ref="A53:A74"/>
    <mergeCell ref="B53:B54"/>
    <mergeCell ref="B55:B56"/>
    <mergeCell ref="B57:B58"/>
    <mergeCell ref="B59:B60"/>
    <mergeCell ref="B65:B66"/>
    <mergeCell ref="B67:B68"/>
    <mergeCell ref="B69:B70"/>
    <mergeCell ref="B61:B62"/>
    <mergeCell ref="B71:B72"/>
    <mergeCell ref="B73:B74"/>
    <mergeCell ref="B63:B64"/>
    <mergeCell ref="A108:Z108"/>
    <mergeCell ref="A76:A91"/>
    <mergeCell ref="B76:B77"/>
    <mergeCell ref="B78:B79"/>
    <mergeCell ref="B80:B81"/>
    <mergeCell ref="B82:B83"/>
    <mergeCell ref="B88:B89"/>
    <mergeCell ref="B90:B91"/>
    <mergeCell ref="B84:B85"/>
    <mergeCell ref="B86:B87"/>
  </mergeCells>
  <pageMargins left="0" right="0" top="0.19" bottom="0" header="0.16" footer="0"/>
  <pageSetup scale="38" firstPageNumber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workbookViewId="0">
      <selection sqref="A1:W1"/>
    </sheetView>
  </sheetViews>
  <sheetFormatPr defaultColWidth="11.7109375" defaultRowHeight="15"/>
  <cols>
    <col min="1" max="1" width="5" style="31" customWidth="1"/>
    <col min="2" max="2" width="10" style="31" customWidth="1"/>
    <col min="3" max="3" width="8" style="31" customWidth="1"/>
    <col min="4" max="4" width="10" style="31" customWidth="1"/>
    <col min="5" max="9" width="9.42578125" style="31" customWidth="1"/>
    <col min="10" max="10" width="10.7109375" style="31" customWidth="1"/>
    <col min="11" max="11" width="10" style="31" customWidth="1"/>
    <col min="12" max="16" width="9.42578125" style="31" customWidth="1"/>
    <col min="17" max="17" width="10.7109375" style="31" customWidth="1"/>
    <col min="18" max="21" width="9.42578125" style="31" customWidth="1"/>
    <col min="22" max="23" width="11.85546875" style="31" customWidth="1"/>
    <col min="24" max="40" width="11.7109375" style="31" hidden="1" customWidth="1"/>
    <col min="41" max="41" width="11.7109375" style="31" customWidth="1"/>
    <col min="42" max="16384" width="11.7109375" style="31"/>
  </cols>
  <sheetData>
    <row r="1" spans="1:40" ht="46.5">
      <c r="A1" s="210" t="s">
        <v>104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</row>
    <row r="2" spans="1:40" s="168" customFormat="1" ht="21">
      <c r="A2" s="278" t="s">
        <v>189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80"/>
    </row>
    <row r="3" spans="1:40" s="168" customFormat="1" ht="21">
      <c r="A3" s="278" t="s">
        <v>105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80"/>
    </row>
    <row r="4" spans="1:40" s="168" customFormat="1" ht="21">
      <c r="A4" s="278" t="s">
        <v>106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80"/>
    </row>
    <row r="5" spans="1:40" s="168" customFormat="1" ht="20.25" customHeight="1">
      <c r="A5" s="216" t="s">
        <v>111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8"/>
    </row>
    <row r="6" spans="1:40" s="168" customFormat="1" ht="21.75" thickBot="1">
      <c r="A6" s="263" t="s">
        <v>178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5"/>
    </row>
    <row r="7" spans="1:40" ht="15.75" thickBot="1">
      <c r="A7" s="201" t="s">
        <v>103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</row>
    <row r="8" spans="1:40" ht="22.5" customHeight="1" thickBot="1">
      <c r="A8" s="266" t="s">
        <v>4</v>
      </c>
      <c r="B8" s="268" t="s">
        <v>5</v>
      </c>
      <c r="C8" s="269"/>
      <c r="D8" s="272" t="s">
        <v>6</v>
      </c>
      <c r="E8" s="273"/>
      <c r="F8" s="273"/>
      <c r="G8" s="273"/>
      <c r="H8" s="273"/>
      <c r="I8" s="273"/>
      <c r="J8" s="273"/>
      <c r="K8" s="274" t="s">
        <v>7</v>
      </c>
      <c r="L8" s="274"/>
      <c r="M8" s="274"/>
      <c r="N8" s="274"/>
      <c r="O8" s="274"/>
      <c r="P8" s="274"/>
      <c r="Q8" s="274"/>
      <c r="R8" s="275" t="s">
        <v>8</v>
      </c>
      <c r="S8" s="275"/>
      <c r="T8" s="275"/>
      <c r="U8" s="275"/>
      <c r="V8" s="276" t="s">
        <v>183</v>
      </c>
      <c r="W8" s="277"/>
    </row>
    <row r="9" spans="1:40" ht="79.5" thickBot="1">
      <c r="A9" s="267"/>
      <c r="B9" s="270"/>
      <c r="C9" s="271"/>
      <c r="D9" s="159" t="s">
        <v>10</v>
      </c>
      <c r="E9" s="160" t="s">
        <v>179</v>
      </c>
      <c r="F9" s="160" t="s">
        <v>11</v>
      </c>
      <c r="G9" s="161" t="s">
        <v>12</v>
      </c>
      <c r="H9" s="162" t="s">
        <v>133</v>
      </c>
      <c r="I9" s="161" t="s">
        <v>13</v>
      </c>
      <c r="J9" s="161" t="s">
        <v>14</v>
      </c>
      <c r="K9" s="160" t="s">
        <v>10</v>
      </c>
      <c r="L9" s="160" t="s">
        <v>179</v>
      </c>
      <c r="M9" s="160" t="s">
        <v>15</v>
      </c>
      <c r="N9" s="161" t="s">
        <v>12</v>
      </c>
      <c r="O9" s="162" t="s">
        <v>133</v>
      </c>
      <c r="P9" s="161" t="s">
        <v>13</v>
      </c>
      <c r="Q9" s="161" t="s">
        <v>14</v>
      </c>
      <c r="R9" s="163" t="s">
        <v>63</v>
      </c>
      <c r="S9" s="164" t="s">
        <v>17</v>
      </c>
      <c r="T9" s="163" t="s">
        <v>180</v>
      </c>
      <c r="U9" s="163" t="s">
        <v>139</v>
      </c>
      <c r="V9" s="163" t="s">
        <v>182</v>
      </c>
      <c r="W9" s="165" t="s">
        <v>181</v>
      </c>
      <c r="AC9" s="31" t="s">
        <v>121</v>
      </c>
      <c r="AD9" s="31" t="s">
        <v>122</v>
      </c>
      <c r="AE9" s="31" t="s">
        <v>123</v>
      </c>
      <c r="AF9" s="33" t="s">
        <v>124</v>
      </c>
      <c r="AG9" s="33" t="s">
        <v>125</v>
      </c>
      <c r="AH9" s="33" t="s">
        <v>126</v>
      </c>
    </row>
    <row r="10" spans="1:40" ht="21.6" customHeight="1">
      <c r="A10" s="259" t="s">
        <v>187</v>
      </c>
      <c r="B10" s="260" t="s">
        <v>46</v>
      </c>
      <c r="C10" s="135" t="s">
        <v>26</v>
      </c>
      <c r="D10" s="139">
        <v>990499.67</v>
      </c>
      <c r="E10" s="82">
        <v>0</v>
      </c>
      <c r="F10" s="105">
        <f t="shared" ref="F10:F23" si="0">((D10*95%*3.283%)-((D10*95%*3.283%)*45%)+13434)+((D10*95%*3.283%)-((D10*95%*3.283%)*45%)+13434)*18%+(D10*95%*0.1%+250)+(D10*95%*0.1%+250)*18%-IF((((D10*95%*3.283%)-((D10*95%*3.283%)*45%))*2.5%)&gt;500,500,(((D10*95%*3.283%)-((D10*95%*3.283%)*45%))*2.5%))-IF((((D10*95%*3.283%)-((D10*95%*3.283%)*45%))*2.5%)&gt;500,500,(((D10*95%*3.283%)-((D10*95%*3.283%)*45%))*2.5%))*18%</f>
        <v>36805.28132558873</v>
      </c>
      <c r="G10" s="79">
        <f>(D10*11/100)+(D10*11/100)*2/100+1500</f>
        <v>112634.062974</v>
      </c>
      <c r="H10" s="82">
        <v>600</v>
      </c>
      <c r="I10" s="152">
        <v>3199</v>
      </c>
      <c r="J10" s="155">
        <f>D10+E10+F10+G10+H10+I10</f>
        <v>1143738.0142995887</v>
      </c>
      <c r="K10" s="139">
        <f t="shared" ref="K10:K23" si="1">D10</f>
        <v>990499.67</v>
      </c>
      <c r="L10" s="82">
        <v>0</v>
      </c>
      <c r="M10" s="105">
        <f t="shared" ref="M10:M23" si="2">((K10*95%*3.283%)-((K10*95%*3.283%)*45%)+11184)+((K10*95%*3.283%)-((K10*95%*3.283%)*45%)+11184)*18%+(K10*95%*0.1%+250)+(K10*95%*0.1%+250)*18%-IF((((K10*95%*3.283%)-((K10*95%*3.283%)*45%))*2.5%)&gt;500,500,(((K10*95%*3.283%)-((K10*95%*3.283%)*45%))*2.5%))-IF((((K10*95%*3.283%)-((K10*95%*3.283%)*45%))*2.5%)&gt;500,500,(((K10*95%*3.283%)-((K10*95%*3.283%)*45%))*2.5%))*18%</f>
        <v>34150.28132558873</v>
      </c>
      <c r="N10" s="82">
        <f t="shared" ref="N10:N23" si="3">(K10*20/100)+(K10*20/100)*2/100+1500</f>
        <v>203561.93268</v>
      </c>
      <c r="O10" s="82">
        <v>600</v>
      </c>
      <c r="P10" s="152">
        <v>3199</v>
      </c>
      <c r="Q10" s="155">
        <f>K10+L10+M10+N10+O10+P10</f>
        <v>1232010.8840055887</v>
      </c>
      <c r="R10" s="139">
        <v>12291</v>
      </c>
      <c r="S10" s="82">
        <v>4834</v>
      </c>
      <c r="T10" s="82">
        <f>AA10</f>
        <v>7217.2758454550012</v>
      </c>
      <c r="U10" s="142">
        <f t="shared" ref="U10:U23" si="4">((D10*95%)*0.17%)*1.18</f>
        <v>1887.5952211189999</v>
      </c>
      <c r="V10" s="155">
        <f>J10+R10+S10+T10+U10</f>
        <v>1169967.8853661628</v>
      </c>
      <c r="W10" s="155">
        <f>Q10+R10+S10+T10+U10</f>
        <v>1258240.7550721627</v>
      </c>
      <c r="X10" s="143">
        <f t="shared" ref="X10:X23" si="5">D10*95/100</f>
        <v>940974.68650000007</v>
      </c>
      <c r="Y10" s="143">
        <f t="shared" ref="Y10:Y23" si="6">X10*0.65/100</f>
        <v>6116.335462250001</v>
      </c>
      <c r="Z10" s="143">
        <f t="shared" ref="Z10:Z23" si="7">Y10*18/100</f>
        <v>1100.9403832050002</v>
      </c>
      <c r="AA10" s="144">
        <f t="shared" ref="AA10:AA23" si="8">Y10+Z10</f>
        <v>7217.2758454550012</v>
      </c>
      <c r="AB10" s="32"/>
      <c r="AC10" s="7">
        <v>981938</v>
      </c>
      <c r="AD10" s="7">
        <v>30247</v>
      </c>
      <c r="AE10" s="7">
        <v>30129</v>
      </c>
      <c r="AF10" s="32">
        <f>AC10-D10</f>
        <v>-8561.6700000000419</v>
      </c>
      <c r="AG10" s="32">
        <f>AD10-F10</f>
        <v>-6558.2813255887304</v>
      </c>
      <c r="AH10" s="32">
        <f>AE10-M10</f>
        <v>-4021.2813255887304</v>
      </c>
      <c r="AK10" s="31">
        <v>1178837</v>
      </c>
      <c r="AL10" s="31">
        <v>1270093</v>
      </c>
      <c r="AM10" s="32">
        <f t="shared" ref="AM10:AM23" si="9">+AK10-V10</f>
        <v>8869.1146338372491</v>
      </c>
      <c r="AN10" s="32">
        <f t="shared" ref="AN10:AN23" si="10">+AL10-W10</f>
        <v>11852.244927837281</v>
      </c>
    </row>
    <row r="11" spans="1:40" ht="21.6" customHeight="1">
      <c r="A11" s="240"/>
      <c r="B11" s="261"/>
      <c r="C11" s="136" t="s">
        <v>27</v>
      </c>
      <c r="D11" s="140">
        <v>996499.67</v>
      </c>
      <c r="E11" s="75">
        <v>0</v>
      </c>
      <c r="F11" s="106">
        <f t="shared" si="0"/>
        <v>36930.41914411373</v>
      </c>
      <c r="G11" s="72">
        <f>(D11*11/100)+(D11*11/100)*2/100+1500</f>
        <v>113307.26297400001</v>
      </c>
      <c r="H11" s="75">
        <v>600</v>
      </c>
      <c r="I11" s="153">
        <v>3199</v>
      </c>
      <c r="J11" s="156">
        <f t="shared" ref="J11:J32" si="11">D11+E11+F11+G11+H11+I11</f>
        <v>1150536.3521181138</v>
      </c>
      <c r="K11" s="140">
        <f t="shared" si="1"/>
        <v>996499.67</v>
      </c>
      <c r="L11" s="75">
        <v>0</v>
      </c>
      <c r="M11" s="106">
        <f t="shared" si="2"/>
        <v>34275.41914411373</v>
      </c>
      <c r="N11" s="75">
        <f t="shared" si="3"/>
        <v>204785.93268</v>
      </c>
      <c r="O11" s="75">
        <v>600</v>
      </c>
      <c r="P11" s="153">
        <v>3199</v>
      </c>
      <c r="Q11" s="156">
        <f t="shared" ref="Q11:Q23" si="12">K11+L11+M11+N11+O11+P11</f>
        <v>1239360.0218241138</v>
      </c>
      <c r="R11" s="140">
        <v>12291</v>
      </c>
      <c r="S11" s="75">
        <v>4834</v>
      </c>
      <c r="T11" s="75">
        <f>AA11</f>
        <v>7260.9948454550004</v>
      </c>
      <c r="U11" s="117">
        <f t="shared" si="4"/>
        <v>1899.0294211190001</v>
      </c>
      <c r="V11" s="156">
        <f t="shared" ref="V11:V23" si="13">J11+R11+S11+T11+U11</f>
        <v>1176821.3763846878</v>
      </c>
      <c r="W11" s="156">
        <f t="shared" ref="W11:W23" si="14">Q11+R11+S11+T11+U11</f>
        <v>1265645.0460906879</v>
      </c>
      <c r="X11" s="145">
        <f t="shared" si="5"/>
        <v>946674.68650000007</v>
      </c>
      <c r="Y11" s="145">
        <f t="shared" si="6"/>
        <v>6153.3854622500003</v>
      </c>
      <c r="Z11" s="145">
        <f t="shared" si="7"/>
        <v>1107.6093832050001</v>
      </c>
      <c r="AA11" s="146">
        <f t="shared" si="8"/>
        <v>7260.9948454550004</v>
      </c>
      <c r="AB11" s="32"/>
      <c r="AC11" s="7">
        <v>987938</v>
      </c>
      <c r="AD11" s="7">
        <v>30409</v>
      </c>
      <c r="AE11" s="7">
        <v>30291</v>
      </c>
      <c r="AF11" s="32">
        <f>AC11-D11</f>
        <v>-8561.6700000000419</v>
      </c>
      <c r="AG11" s="32">
        <f>AD11-F11</f>
        <v>-6521.41914411373</v>
      </c>
      <c r="AH11" s="32">
        <f>AE11-M11</f>
        <v>-3984.41914411373</v>
      </c>
      <c r="AK11" s="31">
        <v>1205916</v>
      </c>
      <c r="AL11" s="31">
        <v>1287510</v>
      </c>
      <c r="AM11" s="32">
        <f t="shared" si="9"/>
        <v>29094.623615312157</v>
      </c>
      <c r="AN11" s="32">
        <f t="shared" si="10"/>
        <v>21864.953909312142</v>
      </c>
    </row>
    <row r="12" spans="1:40" ht="21.6" customHeight="1">
      <c r="A12" s="240"/>
      <c r="B12" s="261" t="s">
        <v>47</v>
      </c>
      <c r="C12" s="136" t="s">
        <v>26</v>
      </c>
      <c r="D12" s="140">
        <v>1076999.6299999999</v>
      </c>
      <c r="E12" s="75">
        <f t="shared" ref="E12:E23" si="15">D12*1/100</f>
        <v>10769.996299999999</v>
      </c>
      <c r="F12" s="106">
        <f t="shared" si="0"/>
        <v>38609.350708405349</v>
      </c>
      <c r="G12" s="72">
        <f t="shared" ref="G12:G23" si="16">(D12*12/100)+(D12*12/100)*2/100+1500</f>
        <v>133324.75471199999</v>
      </c>
      <c r="H12" s="75">
        <v>600</v>
      </c>
      <c r="I12" s="153">
        <v>3199</v>
      </c>
      <c r="J12" s="156">
        <f t="shared" si="11"/>
        <v>1263502.7317204052</v>
      </c>
      <c r="K12" s="140">
        <f t="shared" si="1"/>
        <v>1076999.6299999999</v>
      </c>
      <c r="L12" s="75">
        <f t="shared" ref="L12:L23" si="17">K12*1/100</f>
        <v>10769.996299999999</v>
      </c>
      <c r="M12" s="106">
        <f t="shared" si="2"/>
        <v>35954.350708405349</v>
      </c>
      <c r="N12" s="75">
        <f t="shared" si="3"/>
        <v>221207.92451999997</v>
      </c>
      <c r="O12" s="75">
        <v>600</v>
      </c>
      <c r="P12" s="153">
        <v>3199</v>
      </c>
      <c r="Q12" s="156">
        <f t="shared" si="12"/>
        <v>1348730.901528405</v>
      </c>
      <c r="R12" s="140">
        <v>12291</v>
      </c>
      <c r="S12" s="75">
        <v>4834</v>
      </c>
      <c r="T12" s="75">
        <f t="shared" ref="T12:T13" si="18">AA12</f>
        <v>7847.5578039949996</v>
      </c>
      <c r="U12" s="117">
        <f t="shared" si="4"/>
        <v>2052.438194891</v>
      </c>
      <c r="V12" s="156">
        <f t="shared" si="13"/>
        <v>1290527.7277192911</v>
      </c>
      <c r="W12" s="156">
        <f t="shared" si="14"/>
        <v>1375755.897527291</v>
      </c>
      <c r="X12" s="145">
        <f t="shared" si="5"/>
        <v>1023149.6484999999</v>
      </c>
      <c r="Y12" s="145">
        <f t="shared" ref="Y12:Y13" si="19">X12*0.65/100</f>
        <v>6650.47271525</v>
      </c>
      <c r="Z12" s="145">
        <f t="shared" ref="Z12:Z13" si="20">Y12*18/100</f>
        <v>1197.0850887449999</v>
      </c>
      <c r="AA12" s="146">
        <f t="shared" ref="AA12:AA13" si="21">Y12+Z12</f>
        <v>7847.5578039949996</v>
      </c>
      <c r="AB12" s="32"/>
      <c r="AC12" s="7"/>
      <c r="AD12" s="7"/>
      <c r="AE12" s="7"/>
      <c r="AF12" s="32"/>
      <c r="AG12" s="32"/>
      <c r="AH12" s="32"/>
      <c r="AM12" s="32"/>
      <c r="AN12" s="32"/>
    </row>
    <row r="13" spans="1:40" ht="21.6" customHeight="1">
      <c r="A13" s="240"/>
      <c r="B13" s="261"/>
      <c r="C13" s="136" t="s">
        <v>27</v>
      </c>
      <c r="D13" s="140">
        <v>1082999.6200000001</v>
      </c>
      <c r="E13" s="75">
        <f t="shared" si="15"/>
        <v>10829.996200000001</v>
      </c>
      <c r="F13" s="106">
        <f t="shared" si="0"/>
        <v>38734.488318367323</v>
      </c>
      <c r="G13" s="72">
        <f t="shared" si="16"/>
        <v>134059.15348800001</v>
      </c>
      <c r="H13" s="75">
        <v>600</v>
      </c>
      <c r="I13" s="153">
        <v>3199</v>
      </c>
      <c r="J13" s="156">
        <f t="shared" si="11"/>
        <v>1270422.2580063674</v>
      </c>
      <c r="K13" s="140">
        <f t="shared" si="1"/>
        <v>1082999.6200000001</v>
      </c>
      <c r="L13" s="75">
        <f t="shared" si="17"/>
        <v>10829.996200000001</v>
      </c>
      <c r="M13" s="106">
        <f t="shared" si="2"/>
        <v>36079.488318367323</v>
      </c>
      <c r="N13" s="75">
        <f t="shared" si="3"/>
        <v>222431.92248000004</v>
      </c>
      <c r="O13" s="75">
        <v>600</v>
      </c>
      <c r="P13" s="153">
        <v>3199</v>
      </c>
      <c r="Q13" s="156">
        <f t="shared" si="12"/>
        <v>1356140.0269983674</v>
      </c>
      <c r="R13" s="140">
        <v>12291</v>
      </c>
      <c r="S13" s="75">
        <v>4834</v>
      </c>
      <c r="T13" s="75">
        <f t="shared" si="18"/>
        <v>7891.2767311300013</v>
      </c>
      <c r="U13" s="117">
        <f t="shared" si="4"/>
        <v>2063.8723758340002</v>
      </c>
      <c r="V13" s="156">
        <f t="shared" si="13"/>
        <v>1297502.4071133314</v>
      </c>
      <c r="W13" s="156">
        <f t="shared" si="14"/>
        <v>1383220.1761053314</v>
      </c>
      <c r="X13" s="145">
        <f t="shared" si="5"/>
        <v>1028849.6390000001</v>
      </c>
      <c r="Y13" s="145">
        <f t="shared" si="19"/>
        <v>6687.5226535000011</v>
      </c>
      <c r="Z13" s="145">
        <f t="shared" si="20"/>
        <v>1203.7540776300002</v>
      </c>
      <c r="AA13" s="146">
        <f t="shared" si="21"/>
        <v>7891.2767311300013</v>
      </c>
      <c r="AB13" s="32"/>
      <c r="AC13" s="7"/>
      <c r="AD13" s="7"/>
      <c r="AE13" s="7"/>
      <c r="AF13" s="32"/>
      <c r="AG13" s="32"/>
      <c r="AH13" s="32"/>
      <c r="AM13" s="32"/>
      <c r="AN13" s="32"/>
    </row>
    <row r="14" spans="1:40" ht="21.6" customHeight="1">
      <c r="A14" s="240"/>
      <c r="B14" s="261" t="s">
        <v>48</v>
      </c>
      <c r="C14" s="136" t="s">
        <v>26</v>
      </c>
      <c r="D14" s="140">
        <v>1179999.58</v>
      </c>
      <c r="E14" s="75">
        <f t="shared" si="15"/>
        <v>11799.995800000001</v>
      </c>
      <c r="F14" s="106">
        <f t="shared" si="0"/>
        <v>40764.668097818671</v>
      </c>
      <c r="G14" s="72">
        <f t="shared" si="16"/>
        <v>145931.94859200003</v>
      </c>
      <c r="H14" s="75">
        <v>600</v>
      </c>
      <c r="I14" s="153">
        <v>3199</v>
      </c>
      <c r="J14" s="156">
        <f t="shared" si="11"/>
        <v>1382295.1924898187</v>
      </c>
      <c r="K14" s="140">
        <f t="shared" si="1"/>
        <v>1179999.58</v>
      </c>
      <c r="L14" s="75">
        <f t="shared" si="17"/>
        <v>11799.995800000001</v>
      </c>
      <c r="M14" s="106">
        <f t="shared" si="2"/>
        <v>38109.668097818678</v>
      </c>
      <c r="N14" s="75">
        <f t="shared" si="3"/>
        <v>242219.91432000004</v>
      </c>
      <c r="O14" s="75">
        <v>600</v>
      </c>
      <c r="P14" s="153">
        <v>3199</v>
      </c>
      <c r="Q14" s="156">
        <f t="shared" si="12"/>
        <v>1475928.1582178187</v>
      </c>
      <c r="R14" s="140">
        <v>13584</v>
      </c>
      <c r="S14" s="75">
        <v>4834</v>
      </c>
      <c r="T14" s="75">
        <f t="shared" ref="T14:T19" si="22">AA14</f>
        <v>8598.0669396700014</v>
      </c>
      <c r="U14" s="117">
        <f t="shared" si="4"/>
        <v>2248.7251996059999</v>
      </c>
      <c r="V14" s="156">
        <f t="shared" si="13"/>
        <v>1411559.9846290946</v>
      </c>
      <c r="W14" s="156">
        <f t="shared" si="14"/>
        <v>1505192.9503570946</v>
      </c>
      <c r="X14" s="145">
        <f t="shared" si="5"/>
        <v>1120999.601</v>
      </c>
      <c r="Y14" s="145">
        <f t="shared" si="6"/>
        <v>7286.4974065000006</v>
      </c>
      <c r="Z14" s="145">
        <f t="shared" si="7"/>
        <v>1311.5695331700001</v>
      </c>
      <c r="AA14" s="146">
        <f t="shared" si="8"/>
        <v>8598.0669396700014</v>
      </c>
      <c r="AB14" s="32"/>
      <c r="AC14" s="7">
        <v>1194258</v>
      </c>
      <c r="AD14" s="7">
        <v>35955</v>
      </c>
      <c r="AE14" s="7">
        <v>35837</v>
      </c>
      <c r="AF14" s="32">
        <f t="shared" ref="AF14:AF23" si="23">AC14-D14</f>
        <v>14258.419999999925</v>
      </c>
      <c r="AG14" s="32">
        <f t="shared" ref="AG14:AG23" si="24">AD14-F14</f>
        <v>-4809.6680978186705</v>
      </c>
      <c r="AH14" s="32">
        <f t="shared" ref="AH14:AH23" si="25">AE14-M14</f>
        <v>-2272.6680978186778</v>
      </c>
      <c r="AK14" s="100">
        <v>1445773</v>
      </c>
      <c r="AL14" s="100">
        <v>1544202</v>
      </c>
      <c r="AM14" s="32">
        <f t="shared" si="9"/>
        <v>34213.015370905399</v>
      </c>
      <c r="AN14" s="32">
        <f t="shared" si="10"/>
        <v>39009.04964290536</v>
      </c>
    </row>
    <row r="15" spans="1:40" ht="21.6" customHeight="1">
      <c r="A15" s="240"/>
      <c r="B15" s="261"/>
      <c r="C15" s="136" t="s">
        <v>27</v>
      </c>
      <c r="D15" s="140">
        <v>1185999.5900000001</v>
      </c>
      <c r="E15" s="75">
        <f t="shared" si="15"/>
        <v>11859.995900000002</v>
      </c>
      <c r="F15" s="106">
        <f t="shared" si="0"/>
        <v>40892.842330442028</v>
      </c>
      <c r="G15" s="72">
        <f t="shared" si="16"/>
        <v>146666.34981600003</v>
      </c>
      <c r="H15" s="75">
        <v>600</v>
      </c>
      <c r="I15" s="153">
        <v>3199</v>
      </c>
      <c r="J15" s="156">
        <f t="shared" si="11"/>
        <v>1389217.7780464422</v>
      </c>
      <c r="K15" s="140">
        <f t="shared" si="1"/>
        <v>1185999.5900000001</v>
      </c>
      <c r="L15" s="75">
        <f t="shared" si="17"/>
        <v>11859.995900000002</v>
      </c>
      <c r="M15" s="106">
        <f t="shared" si="2"/>
        <v>38237.842330442028</v>
      </c>
      <c r="N15" s="75">
        <f t="shared" si="3"/>
        <v>243443.91636</v>
      </c>
      <c r="O15" s="75">
        <v>600</v>
      </c>
      <c r="P15" s="153">
        <v>3199</v>
      </c>
      <c r="Q15" s="156">
        <f t="shared" si="12"/>
        <v>1483340.344590442</v>
      </c>
      <c r="R15" s="140">
        <v>13584</v>
      </c>
      <c r="S15" s="75">
        <v>4834</v>
      </c>
      <c r="T15" s="75">
        <f t="shared" si="22"/>
        <v>8641.7860125350016</v>
      </c>
      <c r="U15" s="117">
        <f t="shared" si="4"/>
        <v>2260.159418663</v>
      </c>
      <c r="V15" s="156">
        <f t="shared" si="13"/>
        <v>1418537.7234776402</v>
      </c>
      <c r="W15" s="156">
        <f t="shared" si="14"/>
        <v>1512660.29002164</v>
      </c>
      <c r="X15" s="145">
        <f t="shared" si="5"/>
        <v>1126699.6105000002</v>
      </c>
      <c r="Y15" s="145">
        <f t="shared" si="6"/>
        <v>7323.5474682500017</v>
      </c>
      <c r="Z15" s="145">
        <f t="shared" si="7"/>
        <v>1318.2385442850002</v>
      </c>
      <c r="AA15" s="146">
        <f t="shared" si="8"/>
        <v>8641.7860125350016</v>
      </c>
      <c r="AB15" s="32"/>
      <c r="AC15" s="7">
        <v>1200258</v>
      </c>
      <c r="AD15" s="7">
        <v>36117</v>
      </c>
      <c r="AE15" s="7">
        <v>35999</v>
      </c>
      <c r="AF15" s="32">
        <f t="shared" si="23"/>
        <v>14258.409999999916</v>
      </c>
      <c r="AG15" s="32">
        <f t="shared" si="24"/>
        <v>-4775.8423304420285</v>
      </c>
      <c r="AH15" s="32">
        <f t="shared" si="25"/>
        <v>-2238.8423304420285</v>
      </c>
      <c r="AK15" s="100">
        <v>1452751</v>
      </c>
      <c r="AL15" s="100">
        <v>1551670</v>
      </c>
      <c r="AM15" s="32">
        <f t="shared" si="9"/>
        <v>34213.276522359811</v>
      </c>
      <c r="AN15" s="32">
        <f t="shared" si="10"/>
        <v>39009.709978359984</v>
      </c>
    </row>
    <row r="16" spans="1:40" s="41" customFormat="1" ht="21.6" customHeight="1">
      <c r="A16" s="240"/>
      <c r="B16" s="261" t="s">
        <v>50</v>
      </c>
      <c r="C16" s="137" t="s">
        <v>26</v>
      </c>
      <c r="D16" s="140">
        <v>1197499.5900000001</v>
      </c>
      <c r="E16" s="75">
        <f t="shared" si="15"/>
        <v>11974.995900000002</v>
      </c>
      <c r="F16" s="106">
        <f t="shared" si="0"/>
        <v>41138.509200192027</v>
      </c>
      <c r="G16" s="75">
        <f t="shared" si="16"/>
        <v>148073.94981600001</v>
      </c>
      <c r="H16" s="75">
        <v>600</v>
      </c>
      <c r="I16" s="158">
        <v>3199</v>
      </c>
      <c r="J16" s="156">
        <f t="shared" si="11"/>
        <v>1402486.0449161921</v>
      </c>
      <c r="K16" s="140">
        <f t="shared" si="1"/>
        <v>1197499.5900000001</v>
      </c>
      <c r="L16" s="75">
        <f t="shared" si="17"/>
        <v>11974.995900000002</v>
      </c>
      <c r="M16" s="106">
        <f t="shared" si="2"/>
        <v>38483.509200192035</v>
      </c>
      <c r="N16" s="75">
        <f t="shared" si="3"/>
        <v>245789.91636</v>
      </c>
      <c r="O16" s="75">
        <v>600</v>
      </c>
      <c r="P16" s="158">
        <v>3199</v>
      </c>
      <c r="Q16" s="156">
        <f t="shared" si="12"/>
        <v>1497547.011460192</v>
      </c>
      <c r="R16" s="140">
        <v>13584</v>
      </c>
      <c r="S16" s="75">
        <v>4834</v>
      </c>
      <c r="T16" s="75">
        <f t="shared" si="22"/>
        <v>8725.5807625350026</v>
      </c>
      <c r="U16" s="117">
        <f t="shared" si="4"/>
        <v>2282.0749686630002</v>
      </c>
      <c r="V16" s="156">
        <f t="shared" si="13"/>
        <v>1431911.7006473902</v>
      </c>
      <c r="W16" s="156">
        <f t="shared" si="14"/>
        <v>1526972.6671913902</v>
      </c>
      <c r="X16" s="147">
        <f t="shared" si="5"/>
        <v>1137624.6105000002</v>
      </c>
      <c r="Y16" s="147">
        <f t="shared" si="6"/>
        <v>7394.5599682500015</v>
      </c>
      <c r="Z16" s="147">
        <f t="shared" si="7"/>
        <v>1331.0207942850002</v>
      </c>
      <c r="AA16" s="148">
        <f t="shared" si="8"/>
        <v>8725.5807625350026</v>
      </c>
      <c r="AB16" s="40"/>
      <c r="AC16" s="118">
        <v>1181830</v>
      </c>
      <c r="AD16" s="118">
        <v>35621</v>
      </c>
      <c r="AE16" s="118">
        <v>35503</v>
      </c>
      <c r="AF16" s="40">
        <f t="shared" si="23"/>
        <v>-15669.590000000084</v>
      </c>
      <c r="AG16" s="40">
        <f t="shared" si="24"/>
        <v>-5517.5092001920275</v>
      </c>
      <c r="AH16" s="40">
        <f t="shared" si="25"/>
        <v>-2980.5092001920348</v>
      </c>
      <c r="AK16" s="119">
        <v>1431320</v>
      </c>
      <c r="AL16" s="119">
        <v>1528736</v>
      </c>
      <c r="AM16" s="40">
        <f t="shared" si="9"/>
        <v>-591.70064739021473</v>
      </c>
      <c r="AN16" s="40">
        <f t="shared" si="10"/>
        <v>1763.332808609819</v>
      </c>
    </row>
    <row r="17" spans="1:43" ht="21.6" customHeight="1">
      <c r="A17" s="240"/>
      <c r="B17" s="261"/>
      <c r="C17" s="136" t="s">
        <v>27</v>
      </c>
      <c r="D17" s="140">
        <v>1203499.58</v>
      </c>
      <c r="E17" s="75">
        <f t="shared" si="15"/>
        <v>12034.995800000001</v>
      </c>
      <c r="F17" s="106">
        <f t="shared" si="0"/>
        <v>41266.683005568666</v>
      </c>
      <c r="G17" s="72">
        <f t="shared" si="16"/>
        <v>148808.34859200002</v>
      </c>
      <c r="H17" s="75">
        <v>600</v>
      </c>
      <c r="I17" s="153">
        <v>3199</v>
      </c>
      <c r="J17" s="156">
        <f t="shared" si="11"/>
        <v>1409408.6073975686</v>
      </c>
      <c r="K17" s="140">
        <f t="shared" si="1"/>
        <v>1203499.58</v>
      </c>
      <c r="L17" s="75">
        <f t="shared" si="17"/>
        <v>12034.995800000001</v>
      </c>
      <c r="M17" s="106">
        <f t="shared" si="2"/>
        <v>38611.683005568666</v>
      </c>
      <c r="N17" s="75">
        <f t="shared" si="3"/>
        <v>247013.91432000004</v>
      </c>
      <c r="O17" s="75">
        <v>600</v>
      </c>
      <c r="P17" s="153">
        <v>3199</v>
      </c>
      <c r="Q17" s="156">
        <f t="shared" si="12"/>
        <v>1504959.1731255685</v>
      </c>
      <c r="R17" s="140">
        <v>13584</v>
      </c>
      <c r="S17" s="75">
        <v>4834</v>
      </c>
      <c r="T17" s="75">
        <f t="shared" si="22"/>
        <v>8769.2996896700006</v>
      </c>
      <c r="U17" s="117">
        <f t="shared" si="4"/>
        <v>2293.5091496060004</v>
      </c>
      <c r="V17" s="156">
        <f t="shared" si="13"/>
        <v>1438889.4162368448</v>
      </c>
      <c r="W17" s="156">
        <f t="shared" si="14"/>
        <v>1534439.9819648447</v>
      </c>
      <c r="X17" s="145">
        <f t="shared" si="5"/>
        <v>1143324.601</v>
      </c>
      <c r="Y17" s="145">
        <f t="shared" si="6"/>
        <v>7431.6099065000008</v>
      </c>
      <c r="Z17" s="145">
        <f t="shared" si="7"/>
        <v>1337.6897831700001</v>
      </c>
      <c r="AA17" s="146">
        <f t="shared" si="8"/>
        <v>8769.2996896700006</v>
      </c>
      <c r="AB17" s="32"/>
      <c r="AC17" s="7">
        <v>1187830</v>
      </c>
      <c r="AD17" s="7">
        <v>35782</v>
      </c>
      <c r="AE17" s="7">
        <v>35664</v>
      </c>
      <c r="AF17" s="32">
        <f t="shared" si="23"/>
        <v>-15669.580000000075</v>
      </c>
      <c r="AG17" s="32">
        <f t="shared" si="24"/>
        <v>-5484.683005568666</v>
      </c>
      <c r="AH17" s="32">
        <f t="shared" si="25"/>
        <v>-2947.683005568666</v>
      </c>
      <c r="AK17" s="100">
        <v>1438298</v>
      </c>
      <c r="AL17" s="100">
        <v>1536203</v>
      </c>
      <c r="AM17" s="32">
        <f t="shared" si="9"/>
        <v>-591.41623684484512</v>
      </c>
      <c r="AN17" s="32">
        <f t="shared" si="10"/>
        <v>1763.0180351552553</v>
      </c>
    </row>
    <row r="18" spans="1:43" s="41" customFormat="1" ht="21.6" customHeight="1">
      <c r="A18" s="240"/>
      <c r="B18" s="261" t="s">
        <v>88</v>
      </c>
      <c r="C18" s="137" t="s">
        <v>26</v>
      </c>
      <c r="D18" s="140">
        <v>1311999.56</v>
      </c>
      <c r="E18" s="75">
        <f t="shared" si="15"/>
        <v>13119.9956</v>
      </c>
      <c r="F18" s="106">
        <f t="shared" si="0"/>
        <v>43584.496088571934</v>
      </c>
      <c r="G18" s="75">
        <f t="shared" si="16"/>
        <v>162088.746144</v>
      </c>
      <c r="H18" s="75">
        <v>600</v>
      </c>
      <c r="I18" s="158">
        <v>3199</v>
      </c>
      <c r="J18" s="156">
        <f t="shared" si="11"/>
        <v>1534591.7978325719</v>
      </c>
      <c r="K18" s="140">
        <f t="shared" si="1"/>
        <v>1311999.56</v>
      </c>
      <c r="L18" s="75">
        <f t="shared" si="17"/>
        <v>13119.9956</v>
      </c>
      <c r="M18" s="106">
        <f t="shared" si="2"/>
        <v>40929.496088571934</v>
      </c>
      <c r="N18" s="75">
        <f t="shared" si="3"/>
        <v>269147.91024</v>
      </c>
      <c r="O18" s="75">
        <v>600</v>
      </c>
      <c r="P18" s="158">
        <v>3199</v>
      </c>
      <c r="Q18" s="156">
        <f t="shared" si="12"/>
        <v>1638995.961928572</v>
      </c>
      <c r="R18" s="140">
        <v>14231</v>
      </c>
      <c r="S18" s="75">
        <v>4834</v>
      </c>
      <c r="T18" s="75">
        <f t="shared" si="22"/>
        <v>9559.8847939399984</v>
      </c>
      <c r="U18" s="117">
        <f t="shared" si="4"/>
        <v>2500.2775614919997</v>
      </c>
      <c r="V18" s="156">
        <f t="shared" si="13"/>
        <v>1565716.960188004</v>
      </c>
      <c r="W18" s="156">
        <f t="shared" si="14"/>
        <v>1670121.1242840041</v>
      </c>
      <c r="X18" s="147">
        <f t="shared" si="5"/>
        <v>1246399.5819999999</v>
      </c>
      <c r="Y18" s="147">
        <f t="shared" si="6"/>
        <v>8101.5972829999992</v>
      </c>
      <c r="Z18" s="147">
        <f t="shared" si="7"/>
        <v>1458.2875109399997</v>
      </c>
      <c r="AA18" s="148">
        <f t="shared" si="8"/>
        <v>9559.8847939399984</v>
      </c>
      <c r="AB18" s="40"/>
      <c r="AC18" s="118">
        <v>1315187</v>
      </c>
      <c r="AD18" s="118">
        <v>39206</v>
      </c>
      <c r="AE18" s="118">
        <v>39088</v>
      </c>
      <c r="AF18" s="40">
        <f t="shared" si="23"/>
        <v>3187.4399999999441</v>
      </c>
      <c r="AG18" s="40">
        <f t="shared" si="24"/>
        <v>-4378.4960885719338</v>
      </c>
      <c r="AH18" s="40">
        <f t="shared" si="25"/>
        <v>-1841.4960885719338</v>
      </c>
      <c r="AK18" s="41">
        <v>1586409</v>
      </c>
      <c r="AL18" s="41">
        <v>1694706</v>
      </c>
      <c r="AM18" s="40">
        <f t="shared" si="9"/>
        <v>20692.039811996045</v>
      </c>
      <c r="AN18" s="40">
        <f t="shared" si="10"/>
        <v>24584.875715995906</v>
      </c>
    </row>
    <row r="19" spans="1:43" ht="21.6" customHeight="1">
      <c r="A19" s="240"/>
      <c r="B19" s="261"/>
      <c r="C19" s="136" t="s">
        <v>27</v>
      </c>
      <c r="D19" s="140">
        <v>1317999.56</v>
      </c>
      <c r="E19" s="75">
        <f t="shared" si="15"/>
        <v>13179.9956</v>
      </c>
      <c r="F19" s="106">
        <f t="shared" si="0"/>
        <v>43712.670107571939</v>
      </c>
      <c r="G19" s="72">
        <f t="shared" si="16"/>
        <v>162823.146144</v>
      </c>
      <c r="H19" s="75">
        <v>600</v>
      </c>
      <c r="I19" s="153">
        <v>3199</v>
      </c>
      <c r="J19" s="156">
        <f t="shared" si="11"/>
        <v>1541514.3718515718</v>
      </c>
      <c r="K19" s="140">
        <f t="shared" si="1"/>
        <v>1317999.56</v>
      </c>
      <c r="L19" s="75">
        <f t="shared" si="17"/>
        <v>13179.9956</v>
      </c>
      <c r="M19" s="106">
        <f t="shared" si="2"/>
        <v>41057.670107571939</v>
      </c>
      <c r="N19" s="75">
        <f t="shared" si="3"/>
        <v>270371.91024</v>
      </c>
      <c r="O19" s="75">
        <v>600</v>
      </c>
      <c r="P19" s="153">
        <v>3199</v>
      </c>
      <c r="Q19" s="156">
        <f t="shared" si="12"/>
        <v>1646408.1359475721</v>
      </c>
      <c r="R19" s="140">
        <v>14231</v>
      </c>
      <c r="S19" s="75">
        <v>4834</v>
      </c>
      <c r="T19" s="75">
        <f t="shared" si="22"/>
        <v>9603.6037939399994</v>
      </c>
      <c r="U19" s="117">
        <f t="shared" si="4"/>
        <v>2511.7117614919998</v>
      </c>
      <c r="V19" s="156">
        <f t="shared" si="13"/>
        <v>1572694.6874070039</v>
      </c>
      <c r="W19" s="156">
        <f t="shared" si="14"/>
        <v>1677588.4515030042</v>
      </c>
      <c r="X19" s="145">
        <f t="shared" si="5"/>
        <v>1252099.5819999999</v>
      </c>
      <c r="Y19" s="145">
        <f t="shared" si="6"/>
        <v>8138.6472829999993</v>
      </c>
      <c r="Z19" s="145">
        <f t="shared" si="7"/>
        <v>1464.95651094</v>
      </c>
      <c r="AA19" s="146">
        <f t="shared" si="8"/>
        <v>9603.6037939399994</v>
      </c>
      <c r="AB19" s="32"/>
      <c r="AC19" s="7">
        <v>1321187</v>
      </c>
      <c r="AD19" s="7">
        <v>39367</v>
      </c>
      <c r="AE19" s="7">
        <v>39249</v>
      </c>
      <c r="AF19" s="32">
        <f t="shared" si="23"/>
        <v>3187.4399999999441</v>
      </c>
      <c r="AG19" s="32">
        <f t="shared" si="24"/>
        <v>-4345.6701075719393</v>
      </c>
      <c r="AH19" s="32">
        <f t="shared" si="25"/>
        <v>-1808.6701075719393</v>
      </c>
      <c r="AK19" s="31">
        <v>1593385</v>
      </c>
      <c r="AL19" s="31">
        <v>1702172</v>
      </c>
      <c r="AM19" s="32">
        <f t="shared" si="9"/>
        <v>20690.312592996052</v>
      </c>
      <c r="AN19" s="32">
        <f t="shared" si="10"/>
        <v>24583.54849699582</v>
      </c>
    </row>
    <row r="20" spans="1:43" ht="21.6" customHeight="1">
      <c r="A20" s="240"/>
      <c r="B20" s="261" t="s">
        <v>91</v>
      </c>
      <c r="C20" s="136" t="s">
        <v>26</v>
      </c>
      <c r="D20" s="140">
        <v>1298999.57</v>
      </c>
      <c r="E20" s="75">
        <f t="shared" si="15"/>
        <v>12989.995700000001</v>
      </c>
      <c r="F20" s="106">
        <f t="shared" si="0"/>
        <v>43306.78592769531</v>
      </c>
      <c r="G20" s="72">
        <f t="shared" si="16"/>
        <v>160497.547368</v>
      </c>
      <c r="H20" s="75">
        <v>600</v>
      </c>
      <c r="I20" s="153">
        <v>3199</v>
      </c>
      <c r="J20" s="156">
        <f t="shared" si="11"/>
        <v>1519592.8989956954</v>
      </c>
      <c r="K20" s="140">
        <f t="shared" si="1"/>
        <v>1298999.57</v>
      </c>
      <c r="L20" s="75">
        <f t="shared" si="17"/>
        <v>12989.995700000001</v>
      </c>
      <c r="M20" s="106">
        <f t="shared" si="2"/>
        <v>40651.78592769531</v>
      </c>
      <c r="N20" s="75">
        <f t="shared" si="3"/>
        <v>266495.91228000005</v>
      </c>
      <c r="O20" s="75">
        <v>600</v>
      </c>
      <c r="P20" s="153">
        <v>3199</v>
      </c>
      <c r="Q20" s="156">
        <f t="shared" si="12"/>
        <v>1622936.2639076954</v>
      </c>
      <c r="R20" s="140">
        <v>14231</v>
      </c>
      <c r="S20" s="75">
        <v>4834</v>
      </c>
      <c r="T20" s="75">
        <f t="shared" ref="T20:T21" si="26">AA20</f>
        <v>9465.1603668050011</v>
      </c>
      <c r="U20" s="117">
        <f t="shared" si="4"/>
        <v>2475.503480549</v>
      </c>
      <c r="V20" s="156">
        <f t="shared" si="13"/>
        <v>1550598.5628430494</v>
      </c>
      <c r="W20" s="156">
        <f t="shared" si="14"/>
        <v>1653941.9277550494</v>
      </c>
      <c r="X20" s="145">
        <f t="shared" si="5"/>
        <v>1234049.5915000001</v>
      </c>
      <c r="Y20" s="145">
        <f t="shared" ref="Y20:Y21" si="27">X20*0.65/100</f>
        <v>8021.3223447500004</v>
      </c>
      <c r="Z20" s="145">
        <f t="shared" ref="Z20:Z21" si="28">Y20*18/100</f>
        <v>1443.8380220550002</v>
      </c>
      <c r="AA20" s="146">
        <f t="shared" ref="AA20:AA21" si="29">Y20+Z20</f>
        <v>9465.1603668050011</v>
      </c>
      <c r="AB20" s="32"/>
      <c r="AC20" s="7">
        <v>1321187</v>
      </c>
      <c r="AD20" s="7">
        <v>39367</v>
      </c>
      <c r="AE20" s="7">
        <v>39249</v>
      </c>
      <c r="AF20" s="32">
        <f t="shared" si="23"/>
        <v>22187.429999999935</v>
      </c>
      <c r="AG20" s="32">
        <f t="shared" si="24"/>
        <v>-3939.7859276953095</v>
      </c>
      <c r="AH20" s="32">
        <f t="shared" si="25"/>
        <v>-1402.7859276953095</v>
      </c>
      <c r="AK20" s="31">
        <v>1670682</v>
      </c>
      <c r="AL20" s="31">
        <v>1784892</v>
      </c>
      <c r="AM20" s="32">
        <f t="shared" si="9"/>
        <v>120083.43715695059</v>
      </c>
      <c r="AN20" s="32">
        <f t="shared" si="10"/>
        <v>130950.07224495057</v>
      </c>
    </row>
    <row r="21" spans="1:43" ht="21.6" customHeight="1">
      <c r="A21" s="240"/>
      <c r="B21" s="261"/>
      <c r="C21" s="136" t="s">
        <v>27</v>
      </c>
      <c r="D21" s="140">
        <v>1304999.54</v>
      </c>
      <c r="E21" s="75">
        <f t="shared" si="15"/>
        <v>13049.9954</v>
      </c>
      <c r="F21" s="106">
        <f t="shared" si="0"/>
        <v>43434.959305825207</v>
      </c>
      <c r="G21" s="72">
        <f t="shared" si="16"/>
        <v>161231.943696</v>
      </c>
      <c r="H21" s="75">
        <v>600</v>
      </c>
      <c r="I21" s="153">
        <v>3199</v>
      </c>
      <c r="J21" s="156">
        <f t="shared" si="11"/>
        <v>1526515.438401825</v>
      </c>
      <c r="K21" s="140">
        <f t="shared" si="1"/>
        <v>1304999.54</v>
      </c>
      <c r="L21" s="75">
        <f t="shared" si="17"/>
        <v>13049.9954</v>
      </c>
      <c r="M21" s="106">
        <f t="shared" si="2"/>
        <v>40779.959305825207</v>
      </c>
      <c r="N21" s="75">
        <f t="shared" si="3"/>
        <v>267719.90616000001</v>
      </c>
      <c r="O21" s="75">
        <v>600</v>
      </c>
      <c r="P21" s="153">
        <v>3199</v>
      </c>
      <c r="Q21" s="156">
        <f t="shared" si="12"/>
        <v>1630348.4008658251</v>
      </c>
      <c r="R21" s="140">
        <v>14231</v>
      </c>
      <c r="S21" s="75">
        <v>4834</v>
      </c>
      <c r="T21" s="75">
        <f t="shared" si="26"/>
        <v>9508.8791482100005</v>
      </c>
      <c r="U21" s="117">
        <f t="shared" si="4"/>
        <v>2486.9376233779999</v>
      </c>
      <c r="V21" s="156">
        <f t="shared" si="13"/>
        <v>1557576.2551734129</v>
      </c>
      <c r="W21" s="156">
        <f t="shared" si="14"/>
        <v>1661409.2176374129</v>
      </c>
      <c r="X21" s="145">
        <f t="shared" si="5"/>
        <v>1239749.5630000001</v>
      </c>
      <c r="Y21" s="145">
        <f t="shared" si="27"/>
        <v>8058.3721595000006</v>
      </c>
      <c r="Z21" s="145">
        <f t="shared" si="28"/>
        <v>1450.5069887100001</v>
      </c>
      <c r="AA21" s="146">
        <f t="shared" si="29"/>
        <v>9508.8791482100005</v>
      </c>
      <c r="AB21" s="32"/>
      <c r="AC21" s="7">
        <v>1321187</v>
      </c>
      <c r="AD21" s="7">
        <v>39367</v>
      </c>
      <c r="AE21" s="7">
        <v>39249</v>
      </c>
      <c r="AF21" s="32">
        <f t="shared" si="23"/>
        <v>16187.459999999963</v>
      </c>
      <c r="AG21" s="32">
        <f t="shared" si="24"/>
        <v>-4067.9593058252067</v>
      </c>
      <c r="AH21" s="32">
        <f t="shared" si="25"/>
        <v>-1530.9593058252067</v>
      </c>
      <c r="AK21" s="41">
        <v>1677658</v>
      </c>
      <c r="AL21" s="41">
        <v>1792358</v>
      </c>
      <c r="AM21" s="32">
        <f t="shared" si="9"/>
        <v>120081.74482658715</v>
      </c>
      <c r="AN21" s="32">
        <f t="shared" si="10"/>
        <v>130948.78236258705</v>
      </c>
      <c r="AP21" s="41"/>
      <c r="AQ21" s="41"/>
    </row>
    <row r="22" spans="1:43" s="41" customFormat="1" ht="21.6" customHeight="1">
      <c r="A22" s="240"/>
      <c r="B22" s="261" t="s">
        <v>89</v>
      </c>
      <c r="C22" s="137" t="s">
        <v>26</v>
      </c>
      <c r="D22" s="140">
        <v>1431499.51</v>
      </c>
      <c r="E22" s="75">
        <f t="shared" si="15"/>
        <v>14314.9951</v>
      </c>
      <c r="F22" s="106">
        <f t="shared" si="0"/>
        <v>46137.294232205109</v>
      </c>
      <c r="G22" s="75">
        <f t="shared" si="16"/>
        <v>176715.54002399999</v>
      </c>
      <c r="H22" s="75">
        <v>600</v>
      </c>
      <c r="I22" s="158">
        <v>3199</v>
      </c>
      <c r="J22" s="156">
        <f t="shared" si="11"/>
        <v>1672466.339356205</v>
      </c>
      <c r="K22" s="140">
        <f t="shared" si="1"/>
        <v>1431499.51</v>
      </c>
      <c r="L22" s="75">
        <f t="shared" si="17"/>
        <v>14314.9951</v>
      </c>
      <c r="M22" s="106">
        <f t="shared" si="2"/>
        <v>43482.294232205109</v>
      </c>
      <c r="N22" s="75">
        <f t="shared" si="3"/>
        <v>293525.90003999998</v>
      </c>
      <c r="O22" s="75">
        <v>600</v>
      </c>
      <c r="P22" s="158">
        <v>3199</v>
      </c>
      <c r="Q22" s="156">
        <f t="shared" si="12"/>
        <v>1786621.699372205</v>
      </c>
      <c r="R22" s="140">
        <v>14231</v>
      </c>
      <c r="S22" s="75">
        <v>4834</v>
      </c>
      <c r="T22" s="75">
        <f>AA22</f>
        <v>10430.621179614998</v>
      </c>
      <c r="U22" s="117">
        <f t="shared" si="4"/>
        <v>2728.0086162070002</v>
      </c>
      <c r="V22" s="156">
        <f t="shared" si="13"/>
        <v>1704689.9691520268</v>
      </c>
      <c r="W22" s="156">
        <f t="shared" si="14"/>
        <v>1818845.3291680268</v>
      </c>
      <c r="X22" s="147">
        <f t="shared" si="5"/>
        <v>1359924.5344999998</v>
      </c>
      <c r="Y22" s="147">
        <f t="shared" si="6"/>
        <v>8839.5094742499987</v>
      </c>
      <c r="Z22" s="147">
        <f t="shared" si="7"/>
        <v>1591.1117053649996</v>
      </c>
      <c r="AA22" s="148">
        <f t="shared" si="8"/>
        <v>10430.621179614998</v>
      </c>
      <c r="AB22" s="40"/>
      <c r="AC22" s="118">
        <v>1383151</v>
      </c>
      <c r="AD22" s="118">
        <v>41033</v>
      </c>
      <c r="AE22" s="118">
        <v>40915</v>
      </c>
      <c r="AF22" s="40">
        <f t="shared" si="23"/>
        <v>-48348.510000000009</v>
      </c>
      <c r="AG22" s="40">
        <f t="shared" si="24"/>
        <v>-5104.2942322051094</v>
      </c>
      <c r="AH22" s="40">
        <f t="shared" si="25"/>
        <v>-2567.2942322051094</v>
      </c>
      <c r="AK22" s="41">
        <v>1665447</v>
      </c>
      <c r="AL22" s="41">
        <v>1779290</v>
      </c>
      <c r="AM22" s="40">
        <f t="shared" si="9"/>
        <v>-39242.96915202681</v>
      </c>
      <c r="AN22" s="40">
        <f t="shared" si="10"/>
        <v>-39555.329168026801</v>
      </c>
    </row>
    <row r="23" spans="1:43" s="41" customFormat="1" ht="21.6" customHeight="1" thickBot="1">
      <c r="A23" s="241"/>
      <c r="B23" s="262"/>
      <c r="C23" s="138" t="s">
        <v>27</v>
      </c>
      <c r="D23" s="141">
        <v>1437499.5</v>
      </c>
      <c r="E23" s="89">
        <f t="shared" si="15"/>
        <v>14374.995000000001</v>
      </c>
      <c r="F23" s="107">
        <f t="shared" si="0"/>
        <v>46265.468037581741</v>
      </c>
      <c r="G23" s="89">
        <f t="shared" si="16"/>
        <v>177449.9388</v>
      </c>
      <c r="H23" s="89">
        <v>600</v>
      </c>
      <c r="I23" s="154">
        <v>3199</v>
      </c>
      <c r="J23" s="157">
        <f t="shared" si="11"/>
        <v>1679388.9018375818</v>
      </c>
      <c r="K23" s="141">
        <f t="shared" si="1"/>
        <v>1437499.5</v>
      </c>
      <c r="L23" s="89">
        <f t="shared" si="17"/>
        <v>14374.995000000001</v>
      </c>
      <c r="M23" s="107">
        <f t="shared" si="2"/>
        <v>43610.468037581741</v>
      </c>
      <c r="N23" s="89">
        <f t="shared" si="3"/>
        <v>294749.89800000004</v>
      </c>
      <c r="O23" s="89">
        <v>600</v>
      </c>
      <c r="P23" s="154">
        <v>3199</v>
      </c>
      <c r="Q23" s="157">
        <f t="shared" si="12"/>
        <v>1794033.8610375819</v>
      </c>
      <c r="R23" s="141">
        <v>14231</v>
      </c>
      <c r="S23" s="89">
        <v>4834</v>
      </c>
      <c r="T23" s="89">
        <f>AA23</f>
        <v>10474.340106749998</v>
      </c>
      <c r="U23" s="120">
        <f t="shared" si="4"/>
        <v>2739.4427971499999</v>
      </c>
      <c r="V23" s="157">
        <f t="shared" si="13"/>
        <v>1711667.6847414817</v>
      </c>
      <c r="W23" s="157">
        <f t="shared" si="14"/>
        <v>1826312.6439414818</v>
      </c>
      <c r="X23" s="149">
        <f t="shared" si="5"/>
        <v>1365624.5249999999</v>
      </c>
      <c r="Y23" s="149">
        <f t="shared" si="6"/>
        <v>8876.5594124999989</v>
      </c>
      <c r="Z23" s="149">
        <f t="shared" si="7"/>
        <v>1597.7806942499999</v>
      </c>
      <c r="AA23" s="150">
        <f t="shared" si="8"/>
        <v>10474.340106749998</v>
      </c>
      <c r="AB23" s="40"/>
      <c r="AC23" s="14">
        <v>1389151</v>
      </c>
      <c r="AD23" s="15">
        <v>41194</v>
      </c>
      <c r="AE23" s="14">
        <v>41076</v>
      </c>
      <c r="AF23" s="32">
        <f t="shared" si="23"/>
        <v>-48348.5</v>
      </c>
      <c r="AG23" s="32">
        <f t="shared" si="24"/>
        <v>-5071.4680375817406</v>
      </c>
      <c r="AH23" s="32">
        <f t="shared" si="25"/>
        <v>-2534.4680375817406</v>
      </c>
      <c r="AK23" s="31">
        <v>1672425</v>
      </c>
      <c r="AL23" s="31">
        <v>1786757</v>
      </c>
      <c r="AM23" s="32">
        <f t="shared" si="9"/>
        <v>-39242.684741481673</v>
      </c>
      <c r="AN23" s="32">
        <f t="shared" si="10"/>
        <v>-39555.643941481831</v>
      </c>
      <c r="AP23" s="31"/>
      <c r="AQ23" s="31"/>
    </row>
    <row r="24" spans="1:43" ht="15.75" thickBot="1">
      <c r="A24" s="20"/>
      <c r="B24" s="12"/>
      <c r="C24" s="30"/>
      <c r="E24" s="41"/>
      <c r="J24" s="41"/>
      <c r="L24" s="41"/>
      <c r="O24" s="70"/>
      <c r="Q24" s="41"/>
      <c r="AG24" s="32"/>
      <c r="AH24" s="32"/>
    </row>
    <row r="25" spans="1:43" ht="21.6" customHeight="1">
      <c r="A25" s="239" t="s">
        <v>90</v>
      </c>
      <c r="B25" s="256" t="s">
        <v>46</v>
      </c>
      <c r="C25" s="135" t="s">
        <v>26</v>
      </c>
      <c r="D25" s="139">
        <v>1121999.6200000001</v>
      </c>
      <c r="E25" s="82">
        <f t="shared" ref="E25:E32" si="30">D25*1/100</f>
        <v>11219.996200000001</v>
      </c>
      <c r="F25" s="105">
        <f t="shared" ref="F25:F32" si="31">((D25*95%*3.283%)-((D25*95%*3.283%)*45%)+13434)+((D25*95%*3.283%)-((D25*95%*3.283%)*45%)+13434)*18%+(D25*95%*0.1%+250)+(D25*95%*0.1%+250)*18%-IF((((D25*95%*3.283%)-((D25*95%*3.283%)*45%))*2.5%)&gt;500,500,(((D25*95%*3.283%)-((D25*95%*3.283%)*45%))*2.5%))-IF((((D25*95%*3.283%)-((D25*95%*3.283%)*45%))*2.5%)&gt;500,500,(((D25*95%*3.283%)-((D25*95%*3.283%)*45%))*2.5%))*18%</f>
        <v>39547.884138779824</v>
      </c>
      <c r="G25" s="79">
        <f t="shared" ref="G25:G32" si="32">(D25*14/100)+(D25*14/100)*2/100+1500</f>
        <v>161721.545736</v>
      </c>
      <c r="H25" s="79">
        <v>600</v>
      </c>
      <c r="I25" s="152">
        <v>3199</v>
      </c>
      <c r="J25" s="155">
        <f t="shared" si="11"/>
        <v>1338288.0460747797</v>
      </c>
      <c r="K25" s="139">
        <f t="shared" ref="K25:K32" si="33">D25</f>
        <v>1121999.6200000001</v>
      </c>
      <c r="L25" s="82">
        <f t="shared" ref="L25:L32" si="34">K25*1/100</f>
        <v>11219.996200000001</v>
      </c>
      <c r="M25" s="105">
        <f t="shared" ref="M25:M32" si="35">((K25*95%*3.283%)-((K25*95%*3.283%)*45%)+11184)+((K25*95%*3.283%)-((K25*95%*3.283%)*45%)+11184)*18%+(K25*95%*0.1%+250)+(K25*95%*0.1%+250)*18%-IF((((K25*95%*3.283%)-((K25*95%*3.283%)*45%))*2.5%)&gt;500,500,(((K25*95%*3.283%)-((K25*95%*3.283%)*45%))*2.5%))-IF((((K25*95%*3.283%)-((K25*95%*3.283%)*45%))*2.5%)&gt;500,500,(((K25*95%*3.283%)-((K25*95%*3.283%)*45%))*2.5%))*18%</f>
        <v>36892.884138779824</v>
      </c>
      <c r="N25" s="79">
        <f t="shared" ref="N25:N32" si="36">(K25*20/100)+(K25*20/100)*2/100+1500</f>
        <v>230387.92248000004</v>
      </c>
      <c r="O25" s="79">
        <v>600</v>
      </c>
      <c r="P25" s="152">
        <v>3199</v>
      </c>
      <c r="Q25" s="155">
        <f>K25+L25+M25+N25+O25+P25</f>
        <v>1404299.4228187797</v>
      </c>
      <c r="R25" s="139">
        <v>18186</v>
      </c>
      <c r="S25" s="82">
        <v>4834</v>
      </c>
      <c r="T25" s="82">
        <f t="shared" ref="T25:T32" si="37">AA25</f>
        <v>8175.4502311300002</v>
      </c>
      <c r="U25" s="142">
        <f t="shared" ref="U25:U32" si="38">((D25*95%)*0.17%)*1.18</f>
        <v>2138.194675834</v>
      </c>
      <c r="V25" s="155">
        <f t="shared" ref="V25" si="39">J25+R25+S25+T25+U25</f>
        <v>1371621.6909817436</v>
      </c>
      <c r="W25" s="155">
        <f t="shared" ref="W25" si="40">Q25+R25+S25+T25+U25</f>
        <v>1437633.0677257436</v>
      </c>
      <c r="X25" s="32">
        <f t="shared" ref="X25:X32" si="41">D25*95/100</f>
        <v>1065899.639</v>
      </c>
      <c r="Y25" s="32">
        <f t="shared" ref="Y25:Y32" si="42">X25*0.65/100</f>
        <v>6928.3476535</v>
      </c>
      <c r="Z25" s="32">
        <f t="shared" ref="Z25:Z32" si="43">Y25*18/100</f>
        <v>1247.10257763</v>
      </c>
      <c r="AA25" s="32">
        <f t="shared" ref="AA25:AA32" si="44">Y25+Z25</f>
        <v>8175.4502311300002</v>
      </c>
      <c r="AB25" s="32"/>
      <c r="AC25" s="16">
        <v>1106082</v>
      </c>
      <c r="AD25" s="16">
        <v>33585</v>
      </c>
      <c r="AE25" s="16">
        <v>33467</v>
      </c>
      <c r="AF25" s="32">
        <f t="shared" ref="AF25:AF32" si="45">AC25-D25</f>
        <v>-15917.620000000112</v>
      </c>
      <c r="AG25" s="32">
        <f t="shared" ref="AG25:AG32" si="46">AD25-F25</f>
        <v>-5962.8841387798238</v>
      </c>
      <c r="AH25" s="32">
        <f t="shared" ref="AH25:AH32" si="47">AE25-M25</f>
        <v>-3425.8841387798238</v>
      </c>
      <c r="AK25" s="31">
        <v>1374474</v>
      </c>
      <c r="AL25" s="31">
        <v>1443004</v>
      </c>
      <c r="AM25" s="32">
        <f t="shared" ref="AM25:AM32" si="48">+AK25-V25</f>
        <v>2852.3090182563756</v>
      </c>
      <c r="AN25" s="32">
        <f t="shared" ref="AN25:AN32" si="49">+AL25-W25</f>
        <v>5370.9322742563672</v>
      </c>
    </row>
    <row r="26" spans="1:43" ht="21.6" customHeight="1">
      <c r="A26" s="240"/>
      <c r="B26" s="257"/>
      <c r="C26" s="136" t="s">
        <v>27</v>
      </c>
      <c r="D26" s="140">
        <v>1127999.6200000001</v>
      </c>
      <c r="E26" s="75">
        <f t="shared" si="30"/>
        <v>11279.996200000001</v>
      </c>
      <c r="F26" s="106">
        <f t="shared" si="31"/>
        <v>39673.021957304823</v>
      </c>
      <c r="G26" s="72">
        <f t="shared" si="32"/>
        <v>162578.34573600002</v>
      </c>
      <c r="H26" s="72">
        <v>600</v>
      </c>
      <c r="I26" s="153">
        <v>3199</v>
      </c>
      <c r="J26" s="156">
        <f t="shared" si="11"/>
        <v>1345329.9838933048</v>
      </c>
      <c r="K26" s="140">
        <f t="shared" si="33"/>
        <v>1127999.6200000001</v>
      </c>
      <c r="L26" s="75">
        <f t="shared" si="34"/>
        <v>11279.996200000001</v>
      </c>
      <c r="M26" s="106">
        <f t="shared" si="35"/>
        <v>37018.021957304823</v>
      </c>
      <c r="N26" s="72">
        <f t="shared" si="36"/>
        <v>231611.92248000004</v>
      </c>
      <c r="O26" s="72">
        <v>600</v>
      </c>
      <c r="P26" s="153">
        <v>3199</v>
      </c>
      <c r="Q26" s="156">
        <f t="shared" ref="Q26:Q32" si="50">K26+L26+M26+N26+O26+P26</f>
        <v>1411708.5606373048</v>
      </c>
      <c r="R26" s="140">
        <v>18186</v>
      </c>
      <c r="S26" s="75">
        <v>4834</v>
      </c>
      <c r="T26" s="75">
        <f t="shared" si="37"/>
        <v>8219.1692311299994</v>
      </c>
      <c r="U26" s="117">
        <f t="shared" si="38"/>
        <v>2149.6288758339997</v>
      </c>
      <c r="V26" s="156">
        <f t="shared" ref="V26:V32" si="51">J26+R26+S26+T26+U26</f>
        <v>1378718.7820002688</v>
      </c>
      <c r="W26" s="156">
        <f t="shared" ref="W26:W32" si="52">Q26+R26+S26+T26+U26</f>
        <v>1445097.3587442688</v>
      </c>
      <c r="X26" s="32">
        <f t="shared" si="41"/>
        <v>1071599.639</v>
      </c>
      <c r="Y26" s="32">
        <f t="shared" ref="Y26" si="53">X26*0.65/100</f>
        <v>6965.3976535000002</v>
      </c>
      <c r="Z26" s="32">
        <f t="shared" ref="Z26" si="54">Y26*18/100</f>
        <v>1253.7715776299999</v>
      </c>
      <c r="AA26" s="32">
        <f t="shared" ref="AA26" si="55">Y26+Z26</f>
        <v>8219.1692311299994</v>
      </c>
      <c r="AB26" s="32"/>
      <c r="AC26" s="18">
        <v>1112082</v>
      </c>
      <c r="AD26" s="7">
        <v>33746</v>
      </c>
      <c r="AE26" s="18">
        <v>33628</v>
      </c>
      <c r="AF26" s="32">
        <f t="shared" si="45"/>
        <v>-15917.620000000112</v>
      </c>
      <c r="AG26" s="32">
        <f t="shared" si="46"/>
        <v>-5927.0219573048234</v>
      </c>
      <c r="AH26" s="32">
        <f t="shared" si="47"/>
        <v>-3390.0219573048234</v>
      </c>
      <c r="AK26" s="31">
        <v>1381571</v>
      </c>
      <c r="AL26" s="31">
        <v>1450469</v>
      </c>
      <c r="AM26" s="32">
        <f t="shared" si="48"/>
        <v>2852.2179997311905</v>
      </c>
      <c r="AN26" s="32">
        <f t="shared" si="49"/>
        <v>5371.6412557312287</v>
      </c>
    </row>
    <row r="27" spans="1:43" ht="21.6" customHeight="1">
      <c r="A27" s="240"/>
      <c r="B27" s="257" t="s">
        <v>47</v>
      </c>
      <c r="C27" s="136" t="s">
        <v>26</v>
      </c>
      <c r="D27" s="140">
        <v>1199499.5900000001</v>
      </c>
      <c r="E27" s="75">
        <f t="shared" si="30"/>
        <v>11994.995900000002</v>
      </c>
      <c r="F27" s="106">
        <f t="shared" si="31"/>
        <v>41181.233873192032</v>
      </c>
      <c r="G27" s="72">
        <f t="shared" si="32"/>
        <v>172788.541452</v>
      </c>
      <c r="H27" s="72">
        <v>600</v>
      </c>
      <c r="I27" s="153">
        <v>3199</v>
      </c>
      <c r="J27" s="156">
        <f t="shared" si="11"/>
        <v>1429263.361225192</v>
      </c>
      <c r="K27" s="140">
        <f t="shared" si="33"/>
        <v>1199499.5900000001</v>
      </c>
      <c r="L27" s="75">
        <f t="shared" si="34"/>
        <v>11994.995900000002</v>
      </c>
      <c r="M27" s="106">
        <f t="shared" si="35"/>
        <v>38526.233873192032</v>
      </c>
      <c r="N27" s="72">
        <f t="shared" si="36"/>
        <v>246197.91636</v>
      </c>
      <c r="O27" s="72">
        <v>600</v>
      </c>
      <c r="P27" s="153">
        <v>3199</v>
      </c>
      <c r="Q27" s="156">
        <f t="shared" si="50"/>
        <v>1500017.736133192</v>
      </c>
      <c r="R27" s="140">
        <v>18186</v>
      </c>
      <c r="S27" s="75">
        <v>4834</v>
      </c>
      <c r="T27" s="75">
        <f t="shared" si="37"/>
        <v>8740.1537625350029</v>
      </c>
      <c r="U27" s="117">
        <f t="shared" si="38"/>
        <v>2285.8863686629998</v>
      </c>
      <c r="V27" s="156">
        <f t="shared" si="51"/>
        <v>1463309.40135639</v>
      </c>
      <c r="W27" s="156">
        <f t="shared" si="52"/>
        <v>1534063.77626439</v>
      </c>
      <c r="X27" s="32">
        <f t="shared" si="41"/>
        <v>1139524.6105000002</v>
      </c>
      <c r="Y27" s="32">
        <f t="shared" si="42"/>
        <v>7406.9099682500018</v>
      </c>
      <c r="Z27" s="32">
        <f t="shared" si="43"/>
        <v>1333.2437942850001</v>
      </c>
      <c r="AA27" s="32">
        <f t="shared" si="44"/>
        <v>8740.1537625350029</v>
      </c>
      <c r="AB27" s="32"/>
      <c r="AC27" s="18">
        <v>1187647</v>
      </c>
      <c r="AD27" s="18">
        <v>35777</v>
      </c>
      <c r="AE27" s="18">
        <v>35659</v>
      </c>
      <c r="AF27" s="32">
        <f t="shared" si="45"/>
        <v>-11852.590000000084</v>
      </c>
      <c r="AG27" s="32">
        <f t="shared" si="46"/>
        <v>-5404.2338731920318</v>
      </c>
      <c r="AH27" s="32">
        <f t="shared" si="47"/>
        <v>-2867.2338731920318</v>
      </c>
      <c r="AK27" s="31">
        <v>1470972</v>
      </c>
      <c r="AL27" s="31">
        <v>1544495</v>
      </c>
      <c r="AM27" s="32">
        <f t="shared" si="48"/>
        <v>7662.5986436100211</v>
      </c>
      <c r="AN27" s="32">
        <f t="shared" si="49"/>
        <v>10431.223735610023</v>
      </c>
    </row>
    <row r="28" spans="1:43" ht="21.6" customHeight="1">
      <c r="A28" s="240"/>
      <c r="B28" s="257"/>
      <c r="C28" s="136" t="s">
        <v>27</v>
      </c>
      <c r="D28" s="140">
        <v>1205499.6000000001</v>
      </c>
      <c r="E28" s="75">
        <f t="shared" si="30"/>
        <v>12054.996000000001</v>
      </c>
      <c r="F28" s="106">
        <f t="shared" si="31"/>
        <v>41309.408105815397</v>
      </c>
      <c r="G28" s="72">
        <f t="shared" si="32"/>
        <v>173645.34288000001</v>
      </c>
      <c r="H28" s="72">
        <v>600</v>
      </c>
      <c r="I28" s="153">
        <v>3199</v>
      </c>
      <c r="J28" s="156">
        <f t="shared" si="11"/>
        <v>1436308.3469858156</v>
      </c>
      <c r="K28" s="140">
        <f t="shared" si="33"/>
        <v>1205499.6000000001</v>
      </c>
      <c r="L28" s="75">
        <f t="shared" si="34"/>
        <v>12054.996000000001</v>
      </c>
      <c r="M28" s="106">
        <f t="shared" si="35"/>
        <v>38654.408105815397</v>
      </c>
      <c r="N28" s="72">
        <f t="shared" si="36"/>
        <v>247421.91840000002</v>
      </c>
      <c r="O28" s="72">
        <v>600</v>
      </c>
      <c r="P28" s="153">
        <v>3199</v>
      </c>
      <c r="Q28" s="156">
        <f t="shared" si="50"/>
        <v>1507429.9225058155</v>
      </c>
      <c r="R28" s="140">
        <v>18186</v>
      </c>
      <c r="S28" s="75">
        <v>4834</v>
      </c>
      <c r="T28" s="75">
        <f t="shared" si="37"/>
        <v>8783.8728354000013</v>
      </c>
      <c r="U28" s="117">
        <f t="shared" si="38"/>
        <v>2297.3205877200003</v>
      </c>
      <c r="V28" s="156">
        <f t="shared" si="51"/>
        <v>1470409.5404089356</v>
      </c>
      <c r="W28" s="156">
        <f t="shared" si="52"/>
        <v>1541531.1159289356</v>
      </c>
      <c r="X28" s="32">
        <f t="shared" si="41"/>
        <v>1145224.6200000001</v>
      </c>
      <c r="Y28" s="32">
        <f t="shared" si="42"/>
        <v>7443.9600300000011</v>
      </c>
      <c r="Z28" s="32">
        <f t="shared" si="43"/>
        <v>1339.9128054</v>
      </c>
      <c r="AA28" s="32">
        <f t="shared" si="44"/>
        <v>8783.8728354000013</v>
      </c>
      <c r="AB28" s="32"/>
      <c r="AC28" s="18">
        <v>1193647</v>
      </c>
      <c r="AD28" s="7">
        <v>35939</v>
      </c>
      <c r="AE28" s="18">
        <v>35821</v>
      </c>
      <c r="AF28" s="32">
        <f t="shared" si="45"/>
        <v>-11852.600000000093</v>
      </c>
      <c r="AG28" s="32">
        <f t="shared" si="46"/>
        <v>-5370.408105815397</v>
      </c>
      <c r="AH28" s="32">
        <f t="shared" si="47"/>
        <v>-2833.408105815397</v>
      </c>
      <c r="AK28" s="31">
        <v>1478072</v>
      </c>
      <c r="AL28" s="31">
        <v>1551962</v>
      </c>
      <c r="AM28" s="32">
        <f t="shared" si="48"/>
        <v>7662.4595910643693</v>
      </c>
      <c r="AN28" s="32">
        <f t="shared" si="49"/>
        <v>10430.884071064414</v>
      </c>
    </row>
    <row r="29" spans="1:43" ht="21.6" customHeight="1">
      <c r="A29" s="240"/>
      <c r="B29" s="257" t="s">
        <v>48</v>
      </c>
      <c r="C29" s="136" t="s">
        <v>26</v>
      </c>
      <c r="D29" s="140">
        <v>1312499.55</v>
      </c>
      <c r="E29" s="75">
        <f t="shared" si="30"/>
        <v>13124.995500000001</v>
      </c>
      <c r="F29" s="106">
        <f t="shared" si="31"/>
        <v>43595.177043198571</v>
      </c>
      <c r="G29" s="72">
        <f t="shared" si="32"/>
        <v>188924.93574000002</v>
      </c>
      <c r="H29" s="72">
        <v>600</v>
      </c>
      <c r="I29" s="153">
        <v>3199</v>
      </c>
      <c r="J29" s="156">
        <f t="shared" si="11"/>
        <v>1561943.6582831987</v>
      </c>
      <c r="K29" s="140">
        <f t="shared" si="33"/>
        <v>1312499.55</v>
      </c>
      <c r="L29" s="75">
        <f t="shared" si="34"/>
        <v>13124.995500000001</v>
      </c>
      <c r="M29" s="106">
        <f t="shared" si="35"/>
        <v>40940.177043198571</v>
      </c>
      <c r="N29" s="72">
        <f t="shared" si="36"/>
        <v>269249.90819999995</v>
      </c>
      <c r="O29" s="72">
        <v>600</v>
      </c>
      <c r="P29" s="153">
        <v>3199</v>
      </c>
      <c r="Q29" s="156">
        <f t="shared" si="50"/>
        <v>1639613.6307431986</v>
      </c>
      <c r="R29" s="140">
        <v>20101</v>
      </c>
      <c r="S29" s="75">
        <v>4834</v>
      </c>
      <c r="T29" s="75">
        <f t="shared" si="37"/>
        <v>9563.5279710750001</v>
      </c>
      <c r="U29" s="117">
        <f t="shared" si="38"/>
        <v>2501.2303924349999</v>
      </c>
      <c r="V29" s="156">
        <f t="shared" si="51"/>
        <v>1598943.4166467087</v>
      </c>
      <c r="W29" s="156">
        <f t="shared" si="52"/>
        <v>1676613.3891067086</v>
      </c>
      <c r="X29" s="32">
        <f t="shared" si="41"/>
        <v>1246874.5725</v>
      </c>
      <c r="Y29" s="32">
        <f t="shared" si="42"/>
        <v>8104.6847212500006</v>
      </c>
      <c r="Z29" s="32">
        <f t="shared" si="43"/>
        <v>1458.8432498250002</v>
      </c>
      <c r="AA29" s="32">
        <f t="shared" si="44"/>
        <v>9563.5279710750001</v>
      </c>
      <c r="AB29" s="32"/>
      <c r="AC29" s="18">
        <v>1319472</v>
      </c>
      <c r="AD29" s="18">
        <v>39321</v>
      </c>
      <c r="AE29" s="18">
        <v>39203</v>
      </c>
      <c r="AF29" s="32">
        <f t="shared" si="45"/>
        <v>6972.4499999999534</v>
      </c>
      <c r="AG29" s="32">
        <f t="shared" si="46"/>
        <v>-4274.1770431985715</v>
      </c>
      <c r="AH29" s="32">
        <f t="shared" si="47"/>
        <v>-1737.1770431985715</v>
      </c>
      <c r="AK29" s="31">
        <v>1626967</v>
      </c>
      <c r="AL29" s="31">
        <v>1708557</v>
      </c>
      <c r="AM29" s="32">
        <f t="shared" si="48"/>
        <v>28023.583353291266</v>
      </c>
      <c r="AN29" s="32">
        <f t="shared" si="49"/>
        <v>31943.610893291421</v>
      </c>
    </row>
    <row r="30" spans="1:43" ht="21.6" customHeight="1">
      <c r="A30" s="240"/>
      <c r="B30" s="257"/>
      <c r="C30" s="136" t="s">
        <v>27</v>
      </c>
      <c r="D30" s="140">
        <v>1318499.53</v>
      </c>
      <c r="E30" s="75">
        <f t="shared" si="30"/>
        <v>13184.9953</v>
      </c>
      <c r="F30" s="106">
        <f t="shared" si="31"/>
        <v>43723.350634951843</v>
      </c>
      <c r="G30" s="72">
        <f t="shared" si="32"/>
        <v>189781.73288400003</v>
      </c>
      <c r="H30" s="72">
        <v>600</v>
      </c>
      <c r="I30" s="153">
        <v>3199</v>
      </c>
      <c r="J30" s="156">
        <f t="shared" si="11"/>
        <v>1568988.608818952</v>
      </c>
      <c r="K30" s="140">
        <f t="shared" si="33"/>
        <v>1318499.53</v>
      </c>
      <c r="L30" s="75">
        <f t="shared" si="34"/>
        <v>13184.9953</v>
      </c>
      <c r="M30" s="106">
        <f t="shared" si="35"/>
        <v>41068.350634951843</v>
      </c>
      <c r="N30" s="72">
        <f t="shared" si="36"/>
        <v>270473.90412000002</v>
      </c>
      <c r="O30" s="72">
        <v>600</v>
      </c>
      <c r="P30" s="153">
        <v>3199</v>
      </c>
      <c r="Q30" s="156">
        <f t="shared" si="50"/>
        <v>1647025.780054952</v>
      </c>
      <c r="R30" s="140">
        <v>20101</v>
      </c>
      <c r="S30" s="75">
        <v>4834</v>
      </c>
      <c r="T30" s="75">
        <f t="shared" si="37"/>
        <v>9607.2468253450006</v>
      </c>
      <c r="U30" s="117">
        <f t="shared" si="38"/>
        <v>2512.6645543210002</v>
      </c>
      <c r="V30" s="156">
        <f t="shared" si="51"/>
        <v>1606043.5201986181</v>
      </c>
      <c r="W30" s="156">
        <f t="shared" si="52"/>
        <v>1684080.6914346181</v>
      </c>
      <c r="X30" s="32">
        <f t="shared" si="41"/>
        <v>1252574.5535000002</v>
      </c>
      <c r="Y30" s="32">
        <f t="shared" si="42"/>
        <v>8141.7345977500008</v>
      </c>
      <c r="Z30" s="32">
        <f t="shared" si="43"/>
        <v>1465.5122275950002</v>
      </c>
      <c r="AA30" s="32">
        <f t="shared" si="44"/>
        <v>9607.2468253450006</v>
      </c>
      <c r="AB30" s="32"/>
      <c r="AC30" s="18">
        <v>1325472</v>
      </c>
      <c r="AD30" s="7">
        <v>39483</v>
      </c>
      <c r="AE30" s="18">
        <v>39365</v>
      </c>
      <c r="AF30" s="32">
        <f t="shared" si="45"/>
        <v>6972.4699999999721</v>
      </c>
      <c r="AG30" s="32">
        <f t="shared" si="46"/>
        <v>-4240.3506349518429</v>
      </c>
      <c r="AH30" s="32">
        <f t="shared" si="47"/>
        <v>-1703.3506349518429</v>
      </c>
      <c r="AK30" s="31">
        <v>1634067</v>
      </c>
      <c r="AL30" s="31">
        <v>1716024</v>
      </c>
      <c r="AM30" s="32">
        <f t="shared" si="48"/>
        <v>28023.479801381938</v>
      </c>
      <c r="AN30" s="32">
        <f t="shared" si="49"/>
        <v>31943.308565381914</v>
      </c>
    </row>
    <row r="31" spans="1:43" ht="21.6" customHeight="1">
      <c r="A31" s="240"/>
      <c r="B31" s="257" t="s">
        <v>91</v>
      </c>
      <c r="C31" s="136" t="s">
        <v>26</v>
      </c>
      <c r="D31" s="140">
        <v>1432499.49</v>
      </c>
      <c r="E31" s="75">
        <f t="shared" si="30"/>
        <v>14324.9949</v>
      </c>
      <c r="F31" s="106">
        <f t="shared" si="31"/>
        <v>46158.656141458378</v>
      </c>
      <c r="G31" s="72">
        <f t="shared" si="32"/>
        <v>206060.927172</v>
      </c>
      <c r="H31" s="72">
        <v>600</v>
      </c>
      <c r="I31" s="153">
        <v>3199</v>
      </c>
      <c r="J31" s="156">
        <f t="shared" si="11"/>
        <v>1702843.0682134584</v>
      </c>
      <c r="K31" s="140">
        <f t="shared" si="33"/>
        <v>1432499.49</v>
      </c>
      <c r="L31" s="75">
        <f t="shared" si="34"/>
        <v>14324.9949</v>
      </c>
      <c r="M31" s="106">
        <f t="shared" si="35"/>
        <v>43503.656141458378</v>
      </c>
      <c r="N31" s="75">
        <f t="shared" si="36"/>
        <v>293729.89595999999</v>
      </c>
      <c r="O31" s="72">
        <v>600</v>
      </c>
      <c r="P31" s="153">
        <v>3199</v>
      </c>
      <c r="Q31" s="156">
        <f t="shared" si="50"/>
        <v>1787857.0370014585</v>
      </c>
      <c r="R31" s="140">
        <v>21058</v>
      </c>
      <c r="S31" s="75">
        <v>4834</v>
      </c>
      <c r="T31" s="75">
        <f t="shared" si="37"/>
        <v>10437.907533885002</v>
      </c>
      <c r="U31" s="117">
        <f t="shared" si="38"/>
        <v>2729.9142780929997</v>
      </c>
      <c r="V31" s="156">
        <f t="shared" si="51"/>
        <v>1741902.8900254364</v>
      </c>
      <c r="W31" s="156">
        <f t="shared" si="52"/>
        <v>1826916.8588134365</v>
      </c>
      <c r="X31" s="32">
        <f t="shared" si="41"/>
        <v>1360874.5155000002</v>
      </c>
      <c r="Y31" s="32">
        <f t="shared" si="42"/>
        <v>8845.6843507500016</v>
      </c>
      <c r="Z31" s="32">
        <f t="shared" si="43"/>
        <v>1592.2231831350002</v>
      </c>
      <c r="AA31" s="32">
        <f t="shared" si="44"/>
        <v>10437.907533885002</v>
      </c>
      <c r="AB31" s="32"/>
      <c r="AC31" s="18">
        <v>1389434</v>
      </c>
      <c r="AD31" s="18">
        <v>41202</v>
      </c>
      <c r="AE31" s="18">
        <v>41084</v>
      </c>
      <c r="AF31" s="32">
        <f t="shared" si="45"/>
        <v>-43065.489999999991</v>
      </c>
      <c r="AG31" s="32">
        <f t="shared" si="46"/>
        <v>-4956.6561414583775</v>
      </c>
      <c r="AH31" s="32">
        <f t="shared" si="47"/>
        <v>-2419.6561414583775</v>
      </c>
      <c r="AK31" s="31">
        <v>1709758</v>
      </c>
      <c r="AL31" s="31">
        <v>1795629</v>
      </c>
      <c r="AM31" s="32">
        <f t="shared" si="48"/>
        <v>-32144.890025436413</v>
      </c>
      <c r="AN31" s="32">
        <f t="shared" si="49"/>
        <v>-31287.858813436469</v>
      </c>
    </row>
    <row r="32" spans="1:43" ht="21.6" customHeight="1" thickBot="1">
      <c r="A32" s="241"/>
      <c r="B32" s="258"/>
      <c r="C32" s="151" t="s">
        <v>27</v>
      </c>
      <c r="D32" s="141">
        <v>1438499.5</v>
      </c>
      <c r="E32" s="89">
        <f t="shared" si="30"/>
        <v>14384.995000000001</v>
      </c>
      <c r="F32" s="107">
        <f t="shared" si="31"/>
        <v>46286.830374081757</v>
      </c>
      <c r="G32" s="86">
        <f t="shared" si="32"/>
        <v>206917.7286</v>
      </c>
      <c r="H32" s="86">
        <v>600</v>
      </c>
      <c r="I32" s="154">
        <v>3199</v>
      </c>
      <c r="J32" s="157">
        <f t="shared" si="11"/>
        <v>1709888.053974082</v>
      </c>
      <c r="K32" s="141">
        <f t="shared" si="33"/>
        <v>1438499.5</v>
      </c>
      <c r="L32" s="89">
        <f t="shared" si="34"/>
        <v>14384.995000000001</v>
      </c>
      <c r="M32" s="107">
        <f t="shared" si="35"/>
        <v>43631.830374081757</v>
      </c>
      <c r="N32" s="89">
        <f t="shared" si="36"/>
        <v>294953.89800000004</v>
      </c>
      <c r="O32" s="86">
        <v>600</v>
      </c>
      <c r="P32" s="154">
        <v>3199</v>
      </c>
      <c r="Q32" s="157">
        <f t="shared" si="50"/>
        <v>1795269.223374082</v>
      </c>
      <c r="R32" s="141">
        <v>21058</v>
      </c>
      <c r="S32" s="89">
        <v>4834</v>
      </c>
      <c r="T32" s="89">
        <f t="shared" si="37"/>
        <v>10481.62660675</v>
      </c>
      <c r="U32" s="120">
        <f t="shared" si="38"/>
        <v>2741.3484971500002</v>
      </c>
      <c r="V32" s="157">
        <f t="shared" si="51"/>
        <v>1749003.0290779821</v>
      </c>
      <c r="W32" s="157">
        <f t="shared" si="52"/>
        <v>1834384.1984779821</v>
      </c>
      <c r="X32" s="32">
        <f t="shared" si="41"/>
        <v>1366574.5249999999</v>
      </c>
      <c r="Y32" s="32">
        <f t="shared" si="42"/>
        <v>8882.7344125</v>
      </c>
      <c r="Z32" s="32">
        <f t="shared" si="43"/>
        <v>1598.8921942499999</v>
      </c>
      <c r="AA32" s="32">
        <f t="shared" si="44"/>
        <v>10481.62660675</v>
      </c>
      <c r="AB32" s="32"/>
      <c r="AC32" s="15">
        <v>1395434</v>
      </c>
      <c r="AD32" s="15">
        <v>41363</v>
      </c>
      <c r="AE32" s="15">
        <v>41245</v>
      </c>
      <c r="AF32" s="32">
        <f t="shared" si="45"/>
        <v>-43065.5</v>
      </c>
      <c r="AG32" s="32">
        <f t="shared" si="46"/>
        <v>-4923.8303740817573</v>
      </c>
      <c r="AH32" s="32">
        <f t="shared" si="47"/>
        <v>-2386.8303740817573</v>
      </c>
      <c r="AK32" s="31">
        <v>1716857</v>
      </c>
      <c r="AL32" s="31">
        <v>1803097</v>
      </c>
      <c r="AM32" s="32">
        <f t="shared" si="48"/>
        <v>-32146.029077982064</v>
      </c>
      <c r="AN32" s="32">
        <f t="shared" si="49"/>
        <v>-31287.198477982078</v>
      </c>
    </row>
    <row r="33" spans="1:23" s="44" customFormat="1"/>
    <row r="34" spans="1:23" s="44" customFormat="1" ht="18.75">
      <c r="A34" s="63" t="s">
        <v>131</v>
      </c>
      <c r="B34" s="53"/>
      <c r="C34" s="52"/>
      <c r="D34" s="60"/>
      <c r="E34" s="54"/>
      <c r="F34" s="54"/>
      <c r="G34" s="54"/>
      <c r="H34" s="54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55"/>
      <c r="U34" s="55"/>
    </row>
    <row r="35" spans="1:23" s="44" customFormat="1" ht="18.75">
      <c r="A35" s="63"/>
      <c r="B35" s="53"/>
      <c r="C35" s="52"/>
      <c r="D35" s="60"/>
      <c r="E35" s="54"/>
      <c r="F35" s="54"/>
      <c r="G35" s="54"/>
      <c r="H35" s="54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55"/>
      <c r="U35" s="55"/>
    </row>
    <row r="36" spans="1:23" s="44" customFormat="1">
      <c r="A36" s="56" t="s">
        <v>52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7"/>
      <c r="U36" s="49"/>
    </row>
    <row r="37" spans="1:23" s="44" customFormat="1">
      <c r="A37" s="166" t="s">
        <v>188</v>
      </c>
      <c r="B37" s="49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7"/>
      <c r="U37" s="49"/>
    </row>
    <row r="38" spans="1:23" s="44" customFormat="1">
      <c r="A38" s="167" t="s">
        <v>184</v>
      </c>
      <c r="B38" s="49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7"/>
      <c r="U38" s="49"/>
    </row>
    <row r="39" spans="1:23" s="44" customFormat="1">
      <c r="B39" s="49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7"/>
      <c r="U39" s="49"/>
    </row>
    <row r="40" spans="1:23" s="44" customFormat="1">
      <c r="A40" s="58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7"/>
      <c r="U40" s="49"/>
    </row>
    <row r="41" spans="1:23" s="44" customFormat="1">
      <c r="A41" s="48" t="s">
        <v>36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0"/>
      <c r="U41" s="51"/>
      <c r="V41" s="51"/>
      <c r="W41" s="51"/>
    </row>
    <row r="42" spans="1:23" s="44" customFormat="1">
      <c r="A42" s="52" t="s">
        <v>130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51"/>
      <c r="W42" s="51"/>
    </row>
    <row r="43" spans="1:23" s="44" customFormat="1">
      <c r="A43" s="52" t="s">
        <v>38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51"/>
      <c r="W43" s="51"/>
    </row>
    <row r="44" spans="1:23" s="44" customFormat="1">
      <c r="A44" s="62" t="s">
        <v>127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51"/>
      <c r="W44" s="51"/>
    </row>
    <row r="45" spans="1:23" s="44" customFormat="1">
      <c r="A45" s="125" t="s">
        <v>176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1"/>
      <c r="W45" s="51"/>
    </row>
    <row r="46" spans="1:23" s="44" customFormat="1" ht="12.75" customHeight="1">
      <c r="A46" s="62" t="s">
        <v>128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51"/>
      <c r="W46" s="51"/>
    </row>
    <row r="47" spans="1:23" s="44" customFormat="1">
      <c r="A47" s="48" t="s">
        <v>39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51"/>
      <c r="W47" s="51"/>
    </row>
    <row r="48" spans="1:23" s="44" customFormat="1" ht="12.75" customHeight="1">
      <c r="A48" s="48" t="s">
        <v>40</v>
      </c>
      <c r="B48" s="29"/>
      <c r="C48" s="29"/>
      <c r="D48" s="29"/>
      <c r="E48" s="29"/>
      <c r="F48" s="29"/>
      <c r="G48" s="69"/>
      <c r="H48" s="29"/>
      <c r="I48" s="29"/>
      <c r="J48" s="29"/>
      <c r="K48" s="29"/>
      <c r="L48" s="29"/>
      <c r="M48" s="29"/>
      <c r="N48" s="69"/>
      <c r="O48" s="29"/>
      <c r="P48" s="29"/>
      <c r="Q48" s="29"/>
      <c r="R48" s="29"/>
      <c r="S48" s="29"/>
      <c r="T48" s="29"/>
      <c r="U48" s="99"/>
      <c r="V48" s="29"/>
      <c r="W48" s="29"/>
    </row>
    <row r="49" spans="1:23" s="44" customFormat="1" ht="12.75" customHeight="1">
      <c r="A49" s="181" t="s">
        <v>41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</row>
    <row r="50" spans="1:23" s="44" customFormat="1">
      <c r="A50" s="48" t="s">
        <v>185</v>
      </c>
    </row>
    <row r="51" spans="1:23" s="44" customFormat="1">
      <c r="A51" s="48" t="s">
        <v>186</v>
      </c>
    </row>
    <row r="52" spans="1:23" s="44" customFormat="1"/>
    <row r="53" spans="1:23" s="44" customFormat="1"/>
    <row r="54" spans="1:23" s="44" customFormat="1"/>
  </sheetData>
  <sheetProtection selectLockedCells="1" selectUnlockedCells="1"/>
  <mergeCells count="27">
    <mergeCell ref="A1:W1"/>
    <mergeCell ref="A2:W2"/>
    <mergeCell ref="A3:W3"/>
    <mergeCell ref="A4:W4"/>
    <mergeCell ref="A5:W5"/>
    <mergeCell ref="A6:W6"/>
    <mergeCell ref="A7:W7"/>
    <mergeCell ref="A8:A9"/>
    <mergeCell ref="B8:C9"/>
    <mergeCell ref="D8:J8"/>
    <mergeCell ref="K8:Q8"/>
    <mergeCell ref="R8:U8"/>
    <mergeCell ref="V8:W8"/>
    <mergeCell ref="A10:A23"/>
    <mergeCell ref="B10:B11"/>
    <mergeCell ref="B14:B15"/>
    <mergeCell ref="B16:B17"/>
    <mergeCell ref="B18:B19"/>
    <mergeCell ref="B22:B23"/>
    <mergeCell ref="B20:B21"/>
    <mergeCell ref="B12:B13"/>
    <mergeCell ref="A49:W49"/>
    <mergeCell ref="A25:A32"/>
    <mergeCell ref="B25:B26"/>
    <mergeCell ref="B27:B28"/>
    <mergeCell ref="B29:B30"/>
    <mergeCell ref="B31:B32"/>
  </mergeCells>
  <pageMargins left="0.2638888888888889" right="0.16666666666666666" top="0.32013888888888886" bottom="0.33958333333333335" header="0.51180555555555551" footer="0.51180555555555551"/>
  <pageSetup scale="56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topLeftCell="A7" workbookViewId="0">
      <selection sqref="A1:W1"/>
    </sheetView>
  </sheetViews>
  <sheetFormatPr defaultColWidth="11.7109375" defaultRowHeight="15"/>
  <cols>
    <col min="1" max="1" width="5" style="31" customWidth="1"/>
    <col min="2" max="2" width="9.28515625" style="31" customWidth="1"/>
    <col min="3" max="3" width="8.7109375" style="31" customWidth="1"/>
    <col min="4" max="23" width="9.140625" style="31" customWidth="1"/>
    <col min="24" max="38" width="11.7109375" style="31" hidden="1" customWidth="1"/>
    <col min="39" max="16384" width="11.7109375" style="31"/>
  </cols>
  <sheetData>
    <row r="1" spans="1:38" ht="46.5">
      <c r="A1" s="210" t="s">
        <v>104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</row>
    <row r="2" spans="1:38" ht="28.5">
      <c r="A2" s="213" t="s">
        <v>114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5"/>
    </row>
    <row r="3" spans="1:38" ht="28.5">
      <c r="A3" s="213" t="s">
        <v>105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5"/>
    </row>
    <row r="4" spans="1:38" ht="28.5">
      <c r="A4" s="213" t="s">
        <v>106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5"/>
    </row>
    <row r="5" spans="1:38" ht="20.25" customHeight="1">
      <c r="A5" s="216" t="s">
        <v>112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8"/>
    </row>
    <row r="6" spans="1:38" ht="19.5" thickBot="1">
      <c r="A6" s="198" t="s">
        <v>190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200"/>
    </row>
    <row r="7" spans="1:38" ht="15.75" thickBot="1">
      <c r="A7" s="188" t="s">
        <v>103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</row>
    <row r="8" spans="1:38" ht="30" customHeight="1" thickBot="1">
      <c r="A8" s="225" t="s">
        <v>4</v>
      </c>
      <c r="B8" s="191" t="s">
        <v>5</v>
      </c>
      <c r="C8" s="191"/>
      <c r="D8" s="193" t="s">
        <v>6</v>
      </c>
      <c r="E8" s="248"/>
      <c r="F8" s="193"/>
      <c r="G8" s="193"/>
      <c r="H8" s="193"/>
      <c r="I8" s="193"/>
      <c r="J8" s="193"/>
      <c r="K8" s="194" t="s">
        <v>7</v>
      </c>
      <c r="L8" s="194"/>
      <c r="M8" s="194"/>
      <c r="N8" s="194"/>
      <c r="O8" s="194"/>
      <c r="P8" s="194"/>
      <c r="Q8" s="194"/>
      <c r="R8" s="195" t="s">
        <v>8</v>
      </c>
      <c r="S8" s="195"/>
      <c r="T8" s="195"/>
      <c r="U8" s="195"/>
      <c r="V8" s="227" t="s">
        <v>192</v>
      </c>
      <c r="W8" s="227"/>
    </row>
    <row r="9" spans="1:38" ht="81.75" customHeight="1" thickBot="1">
      <c r="A9" s="226"/>
      <c r="B9" s="192"/>
      <c r="C9" s="192"/>
      <c r="D9" s="27" t="s">
        <v>10</v>
      </c>
      <c r="E9" s="130" t="s">
        <v>179</v>
      </c>
      <c r="F9" s="130" t="s">
        <v>11</v>
      </c>
      <c r="G9" s="28" t="s">
        <v>12</v>
      </c>
      <c r="H9" s="92" t="s">
        <v>133</v>
      </c>
      <c r="I9" s="4" t="s">
        <v>13</v>
      </c>
      <c r="J9" s="4" t="s">
        <v>14</v>
      </c>
      <c r="K9" s="3" t="s">
        <v>10</v>
      </c>
      <c r="L9" s="3" t="s">
        <v>62</v>
      </c>
      <c r="M9" s="3" t="s">
        <v>15</v>
      </c>
      <c r="N9" s="4" t="s">
        <v>12</v>
      </c>
      <c r="O9" s="92" t="s">
        <v>133</v>
      </c>
      <c r="P9" s="4" t="s">
        <v>13</v>
      </c>
      <c r="Q9" s="4" t="s">
        <v>14</v>
      </c>
      <c r="R9" s="5" t="s">
        <v>63</v>
      </c>
      <c r="S9" s="13" t="s">
        <v>17</v>
      </c>
      <c r="T9" s="5" t="s">
        <v>180</v>
      </c>
      <c r="U9" s="5" t="s">
        <v>139</v>
      </c>
      <c r="V9" s="5" t="s">
        <v>22</v>
      </c>
      <c r="W9" s="5" t="s">
        <v>23</v>
      </c>
      <c r="AC9" s="31" t="s">
        <v>121</v>
      </c>
      <c r="AD9" s="31" t="s">
        <v>122</v>
      </c>
      <c r="AE9" s="31" t="s">
        <v>123</v>
      </c>
      <c r="AF9" s="33" t="s">
        <v>124</v>
      </c>
      <c r="AG9" s="33" t="s">
        <v>125</v>
      </c>
      <c r="AH9" s="33" t="s">
        <v>126</v>
      </c>
    </row>
    <row r="10" spans="1:38" ht="20.100000000000001" customHeight="1">
      <c r="A10" s="281" t="s">
        <v>93</v>
      </c>
      <c r="B10" s="287" t="s">
        <v>78</v>
      </c>
      <c r="C10" s="78" t="s">
        <v>26</v>
      </c>
      <c r="D10" s="79">
        <v>955899.67</v>
      </c>
      <c r="E10" s="82">
        <v>0</v>
      </c>
      <c r="F10" s="129">
        <f t="shared" ref="F10:F19" si="0">((D10*95%*3.283%)-((D10*95%*3.283%)*40%)+14034)+((D10*95%*3.283%)-((D10*95%*3.283%)*40%)+14034)*18%+(D10*95%*0.1%+250)+(D10*95%*0.1%+250)*18%-IF((((D10*95%*3.283%)-((D10*95%*3.283%)*40%))*2.5%)&gt;500,500,(((D10*95%*3.283%)-((D10*95%*3.283%)*40%))*2.5%))-IF((((D10*95%*3.283%)-((D10*95%*3.283%)*40%))*2.5%)&gt;500,500,(((D10*95%*3.283%)-((D10*95%*3.283%)*40%))*2.5%))*18%</f>
        <v>38506.650485005885</v>
      </c>
      <c r="G10" s="79">
        <f>(D10*11/100)+(D10*11/100)*2/100+1500</f>
        <v>108751.94297400001</v>
      </c>
      <c r="H10" s="79">
        <v>600</v>
      </c>
      <c r="I10" s="79">
        <v>3499</v>
      </c>
      <c r="J10" s="80">
        <f t="shared" ref="J10:J19" si="1">D10+F10+G10+I10+H10+E10</f>
        <v>1107257.2634590059</v>
      </c>
      <c r="K10" s="79">
        <f t="shared" ref="K10:K19" si="2">D10</f>
        <v>955899.67</v>
      </c>
      <c r="L10" s="82">
        <v>0</v>
      </c>
      <c r="M10" s="105">
        <f t="shared" ref="M10:M19" si="3">((K10*95%*3.283%)-((K10*95%*3.283%)*40%)+11784)+((K10*95%*3.283%)-((K10*95%*3.283%)*40%)+11784)*18%+(K10*95%*0.1%+250)+(K10*95%*0.1%+250)*18%-IF((((K10*95%*3.283%)-((K10*95%*3.283%)*40%))*2.5%)&gt;500,500,(((K10*95%*3.283%)-((K10*95%*3.283%)*40%))*2.5%))-IF((((K10*95%*3.283%)-((K10*95%*3.283%)*40%))*2.5%)&gt;500,500,(((K10*95%*3.283%)-((K10*95%*3.283%)*40%))*2.5%))*18%</f>
        <v>35851.650485005885</v>
      </c>
      <c r="N10" s="79">
        <f t="shared" ref="N10:N19" si="4">(K10*20/100)+(K10*20/100)*2/100+1500</f>
        <v>196503.53268</v>
      </c>
      <c r="O10" s="79">
        <v>600</v>
      </c>
      <c r="P10" s="79">
        <v>3499</v>
      </c>
      <c r="Q10" s="80">
        <f t="shared" ref="Q10:Q19" si="5">K10+M10+N10+P10+O10+L10</f>
        <v>1192353.853165006</v>
      </c>
      <c r="R10" s="82">
        <v>12200</v>
      </c>
      <c r="S10" s="82">
        <v>4834</v>
      </c>
      <c r="T10" s="82">
        <f t="shared" ref="T10:T19" si="6">AA10</f>
        <v>6965.1629454550002</v>
      </c>
      <c r="U10" s="82">
        <f t="shared" ref="U10:U19" si="7">((D10*95%)*0.17%)*1.18</f>
        <v>1821.6580011190001</v>
      </c>
      <c r="V10" s="80">
        <f>J10+R10+S10+T10+U10</f>
        <v>1133078.0844055798</v>
      </c>
      <c r="W10" s="83">
        <f>Q10+R10+S10+U10+T10</f>
        <v>1218174.67411158</v>
      </c>
      <c r="X10" s="32">
        <f t="shared" ref="X10:X16" si="8">D10*95/100</f>
        <v>908104.68650000007</v>
      </c>
      <c r="Y10" s="32">
        <f t="shared" ref="Y10:Y16" si="9">X10*0.65/100</f>
        <v>5902.6804622500003</v>
      </c>
      <c r="Z10" s="32">
        <f t="shared" ref="Z10:Z16" si="10">Y10*18/100</f>
        <v>1062.4824832050001</v>
      </c>
      <c r="AA10" s="32">
        <f t="shared" ref="AA10:AA16" si="11">Y10+Z10</f>
        <v>6965.1629454550002</v>
      </c>
      <c r="AC10" s="6">
        <v>910509</v>
      </c>
      <c r="AD10" s="6">
        <v>28567</v>
      </c>
      <c r="AE10" s="6">
        <v>28449</v>
      </c>
      <c r="AF10" s="32">
        <f t="shared" ref="AF10:AF19" si="12">AC10-D10</f>
        <v>-45390.670000000042</v>
      </c>
      <c r="AG10" s="32">
        <f t="shared" ref="AG10:AG19" si="13">AD10-F10</f>
        <v>-9939.6504850058845</v>
      </c>
      <c r="AH10" s="32">
        <f t="shared" ref="AH10:AH19" si="14">AE10-M10</f>
        <v>-7402.6504850058845</v>
      </c>
      <c r="AI10" s="31">
        <v>1102525</v>
      </c>
      <c r="AJ10" s="31">
        <v>1187484</v>
      </c>
      <c r="AK10" s="32">
        <f>+AI10-V10</f>
        <v>-30553.084405579837</v>
      </c>
      <c r="AL10" s="32">
        <f>+AJ10-W10</f>
        <v>-30690.674111580011</v>
      </c>
    </row>
    <row r="11" spans="1:38" ht="20.100000000000001" customHeight="1">
      <c r="A11" s="282"/>
      <c r="B11" s="288"/>
      <c r="C11" s="71" t="s">
        <v>27</v>
      </c>
      <c r="D11" s="127">
        <v>961899.69</v>
      </c>
      <c r="E11" s="75">
        <v>0</v>
      </c>
      <c r="F11" s="106">
        <f t="shared" si="0"/>
        <v>38642.553467314312</v>
      </c>
      <c r="G11" s="72">
        <f>(D11*11/100)+(D11*11/100)*2/100+1500</f>
        <v>109425.14521799999</v>
      </c>
      <c r="H11" s="72">
        <v>600</v>
      </c>
      <c r="I11" s="72">
        <v>3499</v>
      </c>
      <c r="J11" s="73">
        <f t="shared" si="1"/>
        <v>1114066.3886853142</v>
      </c>
      <c r="K11" s="72">
        <f t="shared" si="2"/>
        <v>961899.69</v>
      </c>
      <c r="L11" s="75">
        <v>0</v>
      </c>
      <c r="M11" s="106">
        <f t="shared" si="3"/>
        <v>35987.553467314312</v>
      </c>
      <c r="N11" s="72">
        <f t="shared" si="4"/>
        <v>197727.53675999996</v>
      </c>
      <c r="O11" s="72">
        <v>600</v>
      </c>
      <c r="P11" s="72">
        <v>3499</v>
      </c>
      <c r="Q11" s="73">
        <f t="shared" si="5"/>
        <v>1199713.7802273142</v>
      </c>
      <c r="R11" s="75">
        <v>12200</v>
      </c>
      <c r="S11" s="75">
        <v>4834</v>
      </c>
      <c r="T11" s="75">
        <f t="shared" si="6"/>
        <v>7008.8820911849998</v>
      </c>
      <c r="U11" s="75">
        <f t="shared" si="7"/>
        <v>1833.0922392329999</v>
      </c>
      <c r="V11" s="73">
        <f>J11+R11+S11+T11+U11</f>
        <v>1139942.3630157323</v>
      </c>
      <c r="W11" s="84">
        <f>Q11+R11+S11+U11+T11</f>
        <v>1225589.7545577323</v>
      </c>
      <c r="X11" s="32">
        <f t="shared" si="8"/>
        <v>913804.70549999992</v>
      </c>
      <c r="Y11" s="32">
        <f t="shared" si="9"/>
        <v>5939.7305857499996</v>
      </c>
      <c r="Z11" s="32">
        <f t="shared" si="10"/>
        <v>1069.151505435</v>
      </c>
      <c r="AA11" s="32">
        <f t="shared" si="11"/>
        <v>7008.8820911849998</v>
      </c>
      <c r="AC11" s="7">
        <v>916509</v>
      </c>
      <c r="AD11" s="7">
        <v>28724</v>
      </c>
      <c r="AE11" s="7">
        <v>28606</v>
      </c>
      <c r="AF11" s="32">
        <f t="shared" si="12"/>
        <v>-45390.689999999944</v>
      </c>
      <c r="AG11" s="32">
        <f t="shared" si="13"/>
        <v>-9918.553467314312</v>
      </c>
      <c r="AH11" s="32">
        <f t="shared" si="14"/>
        <v>-7381.553467314312</v>
      </c>
      <c r="AI11" s="31">
        <v>1109391</v>
      </c>
      <c r="AJ11" s="31">
        <v>1194900</v>
      </c>
      <c r="AK11" s="32">
        <f t="shared" ref="AK11:AK19" si="15">+AI11-V11</f>
        <v>-30551.363015732262</v>
      </c>
      <c r="AL11" s="32">
        <f t="shared" ref="AL11:AL19" si="16">+AJ11-W11</f>
        <v>-30689.75455773226</v>
      </c>
    </row>
    <row r="12" spans="1:38" ht="20.100000000000001" customHeight="1">
      <c r="A12" s="282"/>
      <c r="B12" s="288" t="s">
        <v>137</v>
      </c>
      <c r="C12" s="71" t="s">
        <v>26</v>
      </c>
      <c r="D12" s="127">
        <v>1076399.6299999999</v>
      </c>
      <c r="E12" s="75">
        <f t="shared" ref="E12:E19" si="17">D12*1/100</f>
        <v>10763.996299999999</v>
      </c>
      <c r="F12" s="106">
        <f t="shared" si="0"/>
        <v>41240.237206290542</v>
      </c>
      <c r="G12" s="72">
        <f t="shared" ref="G12:G19" si="18">(D12*12/100)+(D12*12/100)*2/100+1500</f>
        <v>133251.31471199999</v>
      </c>
      <c r="H12" s="72">
        <v>600</v>
      </c>
      <c r="I12" s="72">
        <v>3499</v>
      </c>
      <c r="J12" s="73">
        <f t="shared" si="1"/>
        <v>1265754.1782182904</v>
      </c>
      <c r="K12" s="72">
        <f t="shared" si="2"/>
        <v>1076399.6299999999</v>
      </c>
      <c r="L12" s="75">
        <f t="shared" ref="L12:L19" si="19">K12*1/100</f>
        <v>10763.996299999999</v>
      </c>
      <c r="M12" s="106">
        <f t="shared" si="3"/>
        <v>38585.237206290542</v>
      </c>
      <c r="N12" s="72">
        <f t="shared" si="4"/>
        <v>221085.52451999998</v>
      </c>
      <c r="O12" s="72">
        <v>600</v>
      </c>
      <c r="P12" s="72">
        <v>3499</v>
      </c>
      <c r="Q12" s="73">
        <f t="shared" si="5"/>
        <v>1350933.3880262903</v>
      </c>
      <c r="R12" s="75">
        <v>12200</v>
      </c>
      <c r="S12" s="75">
        <v>4834</v>
      </c>
      <c r="T12" s="75">
        <f t="shared" si="6"/>
        <v>7843.1859039949995</v>
      </c>
      <c r="U12" s="75">
        <f t="shared" si="7"/>
        <v>2051.2947748909996</v>
      </c>
      <c r="V12" s="73">
        <f t="shared" ref="V12:V18" si="20">J12+R12+S12+T12+U12</f>
        <v>1292682.6588971766</v>
      </c>
      <c r="W12" s="84">
        <f t="shared" ref="W12:W18" si="21">Q12+R12+S12+U12+T12</f>
        <v>1377861.8687051765</v>
      </c>
      <c r="X12" s="32">
        <f t="shared" si="8"/>
        <v>1022579.6484999999</v>
      </c>
      <c r="Y12" s="32">
        <f t="shared" si="9"/>
        <v>6646.76771525</v>
      </c>
      <c r="Z12" s="32">
        <f t="shared" si="10"/>
        <v>1196.418188745</v>
      </c>
      <c r="AA12" s="32">
        <f t="shared" si="11"/>
        <v>7843.1859039949995</v>
      </c>
      <c r="AC12" s="7">
        <v>1025531</v>
      </c>
      <c r="AD12" s="7">
        <v>31655</v>
      </c>
      <c r="AE12" s="7">
        <v>31537</v>
      </c>
      <c r="AF12" s="32">
        <f t="shared" si="12"/>
        <v>-50868.629999999888</v>
      </c>
      <c r="AG12" s="32">
        <f t="shared" si="13"/>
        <v>-9585.2372062905415</v>
      </c>
      <c r="AH12" s="32">
        <f t="shared" si="14"/>
        <v>-7048.2372062905415</v>
      </c>
      <c r="AI12" s="31">
        <v>1255160</v>
      </c>
      <c r="AJ12" s="31">
        <v>1340052</v>
      </c>
      <c r="AK12" s="32">
        <f t="shared" si="15"/>
        <v>-37522.658897176618</v>
      </c>
      <c r="AL12" s="32">
        <f t="shared" si="16"/>
        <v>-37809.868705176516</v>
      </c>
    </row>
    <row r="13" spans="1:38" ht="20.100000000000001" customHeight="1">
      <c r="A13" s="282"/>
      <c r="B13" s="288"/>
      <c r="C13" s="71" t="s">
        <v>27</v>
      </c>
      <c r="D13" s="127">
        <v>1082399.6299999999</v>
      </c>
      <c r="E13" s="75">
        <f t="shared" si="17"/>
        <v>10823.996299999999</v>
      </c>
      <c r="F13" s="106">
        <f t="shared" si="0"/>
        <v>41379.451954290533</v>
      </c>
      <c r="G13" s="72">
        <f t="shared" si="18"/>
        <v>133985.71471199999</v>
      </c>
      <c r="H13" s="72">
        <v>600</v>
      </c>
      <c r="I13" s="72">
        <v>3499</v>
      </c>
      <c r="J13" s="73">
        <f t="shared" si="1"/>
        <v>1272687.7929662904</v>
      </c>
      <c r="K13" s="72">
        <f t="shared" si="2"/>
        <v>1082399.6299999999</v>
      </c>
      <c r="L13" s="75">
        <f t="shared" si="19"/>
        <v>10823.996299999999</v>
      </c>
      <c r="M13" s="106">
        <f t="shared" si="3"/>
        <v>38724.451954290533</v>
      </c>
      <c r="N13" s="75">
        <f t="shared" si="4"/>
        <v>222309.52451999998</v>
      </c>
      <c r="O13" s="72">
        <v>600</v>
      </c>
      <c r="P13" s="72">
        <v>3499</v>
      </c>
      <c r="Q13" s="73">
        <f t="shared" si="5"/>
        <v>1358356.6027742904</v>
      </c>
      <c r="R13" s="75">
        <v>12200</v>
      </c>
      <c r="S13" s="75">
        <v>4834</v>
      </c>
      <c r="T13" s="75">
        <f t="shared" si="6"/>
        <v>7886.9049039950005</v>
      </c>
      <c r="U13" s="75">
        <f t="shared" si="7"/>
        <v>2062.7289748909998</v>
      </c>
      <c r="V13" s="73">
        <f t="shared" si="20"/>
        <v>1299671.4268451764</v>
      </c>
      <c r="W13" s="84">
        <f t="shared" si="21"/>
        <v>1385340.2366531764</v>
      </c>
      <c r="X13" s="32">
        <f t="shared" si="8"/>
        <v>1028279.6484999999</v>
      </c>
      <c r="Y13" s="32">
        <f t="shared" si="9"/>
        <v>6683.8177152500002</v>
      </c>
      <c r="Z13" s="32">
        <f t="shared" si="10"/>
        <v>1203.087188745</v>
      </c>
      <c r="AA13" s="32">
        <f t="shared" si="11"/>
        <v>7886.9049039950005</v>
      </c>
      <c r="AC13" s="7">
        <v>1031531</v>
      </c>
      <c r="AD13" s="7">
        <v>31817</v>
      </c>
      <c r="AE13" s="7">
        <v>31699</v>
      </c>
      <c r="AF13" s="32">
        <f t="shared" si="12"/>
        <v>-50868.629999999888</v>
      </c>
      <c r="AG13" s="32">
        <f t="shared" si="13"/>
        <v>-9562.4519542905327</v>
      </c>
      <c r="AH13" s="32">
        <f t="shared" si="14"/>
        <v>-7025.4519542905327</v>
      </c>
      <c r="AI13" s="31">
        <v>1262146</v>
      </c>
      <c r="AJ13" s="31">
        <v>1347528</v>
      </c>
      <c r="AK13" s="32">
        <f t="shared" si="15"/>
        <v>-37525.426845176378</v>
      </c>
      <c r="AL13" s="32">
        <f t="shared" si="16"/>
        <v>-37812.236653176369</v>
      </c>
    </row>
    <row r="14" spans="1:38" ht="20.100000000000001" customHeight="1">
      <c r="A14" s="282"/>
      <c r="B14" s="288" t="s">
        <v>138</v>
      </c>
      <c r="C14" s="71" t="s">
        <v>26</v>
      </c>
      <c r="D14" s="127">
        <v>1170399.5900000001</v>
      </c>
      <c r="E14" s="75">
        <f t="shared" si="17"/>
        <v>11703.995900000002</v>
      </c>
      <c r="F14" s="106">
        <f t="shared" si="0"/>
        <v>43421.267330192211</v>
      </c>
      <c r="G14" s="72">
        <f t="shared" si="18"/>
        <v>144756.90981600003</v>
      </c>
      <c r="H14" s="72">
        <v>600</v>
      </c>
      <c r="I14" s="72">
        <v>3499</v>
      </c>
      <c r="J14" s="73">
        <f t="shared" si="1"/>
        <v>1374380.7630461925</v>
      </c>
      <c r="K14" s="72">
        <f t="shared" si="2"/>
        <v>1170399.5900000001</v>
      </c>
      <c r="L14" s="75">
        <f t="shared" si="19"/>
        <v>11703.995900000002</v>
      </c>
      <c r="M14" s="106">
        <f t="shared" si="3"/>
        <v>40766.267330192211</v>
      </c>
      <c r="N14" s="75">
        <f t="shared" si="4"/>
        <v>240261.51636000001</v>
      </c>
      <c r="O14" s="72">
        <v>600</v>
      </c>
      <c r="P14" s="72">
        <v>3499</v>
      </c>
      <c r="Q14" s="73">
        <f t="shared" si="5"/>
        <v>1467230.3695901923</v>
      </c>
      <c r="R14" s="75">
        <v>12200</v>
      </c>
      <c r="S14" s="75">
        <v>4834</v>
      </c>
      <c r="T14" s="75">
        <f t="shared" si="6"/>
        <v>8528.1166125350028</v>
      </c>
      <c r="U14" s="75">
        <f t="shared" si="7"/>
        <v>2230.430498663</v>
      </c>
      <c r="V14" s="73">
        <f t="shared" si="20"/>
        <v>1402173.3101573905</v>
      </c>
      <c r="W14" s="84">
        <f t="shared" si="21"/>
        <v>1495022.9167013904</v>
      </c>
      <c r="X14" s="32">
        <f t="shared" si="8"/>
        <v>1111879.6105000002</v>
      </c>
      <c r="Y14" s="32">
        <f t="shared" si="9"/>
        <v>7227.2174682500017</v>
      </c>
      <c r="Z14" s="32">
        <f t="shared" si="10"/>
        <v>1300.8991442850004</v>
      </c>
      <c r="AA14" s="32">
        <f t="shared" si="11"/>
        <v>8528.1166125350028</v>
      </c>
      <c r="AC14" s="7">
        <v>1129128</v>
      </c>
      <c r="AD14" s="7">
        <v>34440</v>
      </c>
      <c r="AE14" s="7">
        <v>34322</v>
      </c>
      <c r="AF14" s="32">
        <f t="shared" si="12"/>
        <v>-41271.590000000084</v>
      </c>
      <c r="AG14" s="32">
        <f t="shared" si="13"/>
        <v>-8981.2673301922114</v>
      </c>
      <c r="AH14" s="32">
        <f t="shared" si="14"/>
        <v>-6444.2673301922114</v>
      </c>
      <c r="AI14" s="31">
        <v>1375814</v>
      </c>
      <c r="AJ14" s="31">
        <v>1469159</v>
      </c>
      <c r="AK14" s="32">
        <f t="shared" si="15"/>
        <v>-26359.310157390544</v>
      </c>
      <c r="AL14" s="32">
        <f t="shared" si="16"/>
        <v>-25863.916701390408</v>
      </c>
    </row>
    <row r="15" spans="1:38" ht="20.100000000000001" customHeight="1">
      <c r="A15" s="282"/>
      <c r="B15" s="288"/>
      <c r="C15" s="71" t="s">
        <v>27</v>
      </c>
      <c r="D15" s="127">
        <v>1176399.6000000001</v>
      </c>
      <c r="E15" s="75">
        <f t="shared" si="17"/>
        <v>11763.996000000001</v>
      </c>
      <c r="F15" s="106">
        <f t="shared" si="0"/>
        <v>43560.482310216801</v>
      </c>
      <c r="G15" s="72">
        <f t="shared" si="18"/>
        <v>145491.31104000003</v>
      </c>
      <c r="H15" s="72">
        <v>600</v>
      </c>
      <c r="I15" s="72">
        <v>3499</v>
      </c>
      <c r="J15" s="73">
        <f t="shared" si="1"/>
        <v>1381314.3893502171</v>
      </c>
      <c r="K15" s="72">
        <f t="shared" si="2"/>
        <v>1176399.6000000001</v>
      </c>
      <c r="L15" s="75">
        <f t="shared" si="19"/>
        <v>11763.996000000001</v>
      </c>
      <c r="M15" s="106">
        <f t="shared" si="3"/>
        <v>40905.482310216801</v>
      </c>
      <c r="N15" s="75">
        <f t="shared" si="4"/>
        <v>241485.5184</v>
      </c>
      <c r="O15" s="72">
        <v>600</v>
      </c>
      <c r="P15" s="72">
        <v>3499</v>
      </c>
      <c r="Q15" s="73">
        <f t="shared" si="5"/>
        <v>1474653.596710217</v>
      </c>
      <c r="R15" s="75">
        <v>12200</v>
      </c>
      <c r="S15" s="75">
        <v>4834</v>
      </c>
      <c r="T15" s="75">
        <f t="shared" si="6"/>
        <v>8571.8356854000012</v>
      </c>
      <c r="U15" s="75">
        <f t="shared" si="7"/>
        <v>2241.86471772</v>
      </c>
      <c r="V15" s="73">
        <f t="shared" si="20"/>
        <v>1409162.0897533372</v>
      </c>
      <c r="W15" s="84">
        <f t="shared" si="21"/>
        <v>1502501.2971133371</v>
      </c>
      <c r="X15" s="32">
        <f>D15*95/100</f>
        <v>1117579.6200000001</v>
      </c>
      <c r="Y15" s="32">
        <f t="shared" ref="Y15" si="22">X15*0.65/100</f>
        <v>7264.267530000001</v>
      </c>
      <c r="Z15" s="32">
        <f t="shared" ref="Z15" si="23">Y15*18/100</f>
        <v>1307.5681554</v>
      </c>
      <c r="AA15" s="32">
        <f t="shared" ref="AA15" si="24">Y15+Z15</f>
        <v>8571.8356854000012</v>
      </c>
      <c r="AC15" s="7">
        <v>1135128</v>
      </c>
      <c r="AD15" s="7">
        <v>34602</v>
      </c>
      <c r="AE15" s="7">
        <v>34484</v>
      </c>
      <c r="AF15" s="32">
        <f t="shared" si="12"/>
        <v>-41271.600000000093</v>
      </c>
      <c r="AG15" s="32">
        <f t="shared" si="13"/>
        <v>-8958.4823102168011</v>
      </c>
      <c r="AH15" s="32">
        <f t="shared" si="14"/>
        <v>-6421.4823102168011</v>
      </c>
      <c r="AI15" s="31">
        <v>1382803</v>
      </c>
      <c r="AJ15" s="31">
        <v>1476638</v>
      </c>
      <c r="AK15" s="32">
        <f t="shared" si="15"/>
        <v>-26359.089753337204</v>
      </c>
      <c r="AL15" s="32">
        <f t="shared" si="16"/>
        <v>-25863.297113337088</v>
      </c>
    </row>
    <row r="16" spans="1:38" ht="20.100000000000001" customHeight="1">
      <c r="A16" s="282"/>
      <c r="B16" s="288" t="s">
        <v>135</v>
      </c>
      <c r="C16" s="71" t="s">
        <v>26</v>
      </c>
      <c r="D16" s="127">
        <v>1274399.55</v>
      </c>
      <c r="E16" s="75">
        <f t="shared" si="17"/>
        <v>12743.995500000001</v>
      </c>
      <c r="F16" s="106">
        <f t="shared" si="0"/>
        <v>45834.322034093886</v>
      </c>
      <c r="G16" s="72">
        <f t="shared" si="18"/>
        <v>157486.50492000004</v>
      </c>
      <c r="H16" s="72">
        <v>600</v>
      </c>
      <c r="I16" s="72">
        <v>3499</v>
      </c>
      <c r="J16" s="73">
        <f t="shared" si="1"/>
        <v>1494563.3724540938</v>
      </c>
      <c r="K16" s="72">
        <f t="shared" si="2"/>
        <v>1274399.55</v>
      </c>
      <c r="L16" s="75">
        <f t="shared" si="19"/>
        <v>12743.995500000001</v>
      </c>
      <c r="M16" s="106">
        <f t="shared" si="3"/>
        <v>43179.322034093886</v>
      </c>
      <c r="N16" s="75">
        <f t="shared" si="4"/>
        <v>261477.50820000001</v>
      </c>
      <c r="O16" s="72">
        <v>600</v>
      </c>
      <c r="P16" s="72">
        <v>3499</v>
      </c>
      <c r="Q16" s="73">
        <f t="shared" si="5"/>
        <v>1595899.3757340938</v>
      </c>
      <c r="R16" s="75">
        <v>12200</v>
      </c>
      <c r="S16" s="75">
        <v>4834</v>
      </c>
      <c r="T16" s="75">
        <f t="shared" si="6"/>
        <v>9285.9123210750004</v>
      </c>
      <c r="U16" s="75">
        <f t="shared" si="7"/>
        <v>2428.6232224349997</v>
      </c>
      <c r="V16" s="73">
        <f t="shared" si="20"/>
        <v>1523311.9079976038</v>
      </c>
      <c r="W16" s="84">
        <f t="shared" si="21"/>
        <v>1624647.9112776038</v>
      </c>
      <c r="X16" s="32">
        <f t="shared" si="8"/>
        <v>1210679.5725</v>
      </c>
      <c r="Y16" s="32">
        <f t="shared" si="9"/>
        <v>7869.4172212500007</v>
      </c>
      <c r="Z16" s="32">
        <f t="shared" si="10"/>
        <v>1416.4950998250001</v>
      </c>
      <c r="AA16" s="32">
        <f t="shared" si="11"/>
        <v>9285.9123210750004</v>
      </c>
      <c r="AC16" s="7">
        <v>1222049</v>
      </c>
      <c r="AD16" s="7">
        <v>36938</v>
      </c>
      <c r="AE16" s="7">
        <v>36820</v>
      </c>
      <c r="AF16" s="32">
        <f t="shared" si="12"/>
        <v>-52350.550000000047</v>
      </c>
      <c r="AG16" s="32">
        <f t="shared" si="13"/>
        <v>-8896.322034093886</v>
      </c>
      <c r="AH16" s="32">
        <f t="shared" si="14"/>
        <v>-6359.322034093886</v>
      </c>
      <c r="AI16" s="31">
        <v>1484047</v>
      </c>
      <c r="AJ16" s="31">
        <v>1584974</v>
      </c>
      <c r="AK16" s="32">
        <f t="shared" si="15"/>
        <v>-39264.907997603761</v>
      </c>
      <c r="AL16" s="32">
        <f t="shared" si="16"/>
        <v>-39673.911277603824</v>
      </c>
    </row>
    <row r="17" spans="1:38" ht="20.100000000000001" customHeight="1">
      <c r="A17" s="282"/>
      <c r="B17" s="288"/>
      <c r="C17" s="71" t="s">
        <v>27</v>
      </c>
      <c r="D17" s="127">
        <v>1280399.56</v>
      </c>
      <c r="E17" s="75">
        <f t="shared" si="17"/>
        <v>12803.9956</v>
      </c>
      <c r="F17" s="106">
        <f t="shared" si="0"/>
        <v>45973.537014118483</v>
      </c>
      <c r="G17" s="72">
        <f t="shared" si="18"/>
        <v>158220.90614400001</v>
      </c>
      <c r="H17" s="72">
        <v>600</v>
      </c>
      <c r="I17" s="72">
        <v>3499</v>
      </c>
      <c r="J17" s="73">
        <f t="shared" si="1"/>
        <v>1501496.9987581186</v>
      </c>
      <c r="K17" s="72">
        <f t="shared" si="2"/>
        <v>1280399.56</v>
      </c>
      <c r="L17" s="75">
        <f t="shared" si="19"/>
        <v>12803.9956</v>
      </c>
      <c r="M17" s="106">
        <f t="shared" si="3"/>
        <v>43318.537014118483</v>
      </c>
      <c r="N17" s="75">
        <f t="shared" si="4"/>
        <v>262701.51024000003</v>
      </c>
      <c r="O17" s="72">
        <v>600</v>
      </c>
      <c r="P17" s="72">
        <v>3499</v>
      </c>
      <c r="Q17" s="73">
        <f t="shared" si="5"/>
        <v>1603322.6028541184</v>
      </c>
      <c r="R17" s="75">
        <v>12200</v>
      </c>
      <c r="S17" s="75">
        <v>4834</v>
      </c>
      <c r="T17" s="75">
        <f t="shared" si="6"/>
        <v>9329.6313939400006</v>
      </c>
      <c r="U17" s="75">
        <f t="shared" si="7"/>
        <v>2440.0574414920002</v>
      </c>
      <c r="V17" s="73">
        <f t="shared" si="20"/>
        <v>1530300.6875935507</v>
      </c>
      <c r="W17" s="84">
        <f t="shared" si="21"/>
        <v>1632126.2916895505</v>
      </c>
      <c r="X17" s="32">
        <f>D17*95/100</f>
        <v>1216379.5819999999</v>
      </c>
      <c r="Y17" s="32">
        <f t="shared" ref="Y17:Y19" si="25">X17*0.65/100</f>
        <v>7906.467283</v>
      </c>
      <c r="Z17" s="32">
        <f t="shared" ref="Z17:Z19" si="26">Y17*18/100</f>
        <v>1423.16411094</v>
      </c>
      <c r="AA17" s="32">
        <f t="shared" ref="AA17:AA19" si="27">Y17+Z17</f>
        <v>9329.6313939400006</v>
      </c>
      <c r="AC17" s="7">
        <v>1228049</v>
      </c>
      <c r="AD17" s="7">
        <v>37100</v>
      </c>
      <c r="AE17" s="7">
        <v>36982</v>
      </c>
      <c r="AF17" s="32">
        <f t="shared" si="12"/>
        <v>-52350.560000000056</v>
      </c>
      <c r="AG17" s="32">
        <f t="shared" si="13"/>
        <v>-8873.5370141184831</v>
      </c>
      <c r="AH17" s="32">
        <f t="shared" si="14"/>
        <v>-6336.5370141184831</v>
      </c>
      <c r="AI17" s="31">
        <v>1491035</v>
      </c>
      <c r="AJ17" s="31">
        <v>1592453</v>
      </c>
      <c r="AK17" s="32">
        <f t="shared" si="15"/>
        <v>-39265.687593550654</v>
      </c>
      <c r="AL17" s="32">
        <f t="shared" si="16"/>
        <v>-39673.291689550504</v>
      </c>
    </row>
    <row r="18" spans="1:38" ht="20.100000000000001" customHeight="1">
      <c r="A18" s="282"/>
      <c r="B18" s="288" t="s">
        <v>136</v>
      </c>
      <c r="C18" s="71" t="s">
        <v>26</v>
      </c>
      <c r="D18" s="127">
        <v>1288899.55</v>
      </c>
      <c r="E18" s="75">
        <f t="shared" si="17"/>
        <v>12888.995500000001</v>
      </c>
      <c r="F18" s="106">
        <f t="shared" si="0"/>
        <v>46170.75767509389</v>
      </c>
      <c r="G18" s="72">
        <f t="shared" si="18"/>
        <v>159261.30492000002</v>
      </c>
      <c r="H18" s="72">
        <v>600</v>
      </c>
      <c r="I18" s="72">
        <v>3499</v>
      </c>
      <c r="J18" s="73">
        <f t="shared" si="1"/>
        <v>1511319.6080950939</v>
      </c>
      <c r="K18" s="72">
        <f t="shared" si="2"/>
        <v>1288899.55</v>
      </c>
      <c r="L18" s="75">
        <f t="shared" si="19"/>
        <v>12888.995500000001</v>
      </c>
      <c r="M18" s="106">
        <f t="shared" si="3"/>
        <v>43515.75767509389</v>
      </c>
      <c r="N18" s="75">
        <f t="shared" si="4"/>
        <v>264435.50819999998</v>
      </c>
      <c r="O18" s="72">
        <v>600</v>
      </c>
      <c r="P18" s="72">
        <v>3499</v>
      </c>
      <c r="Q18" s="73">
        <f t="shared" si="5"/>
        <v>1613838.8113750939</v>
      </c>
      <c r="R18" s="75">
        <v>12200</v>
      </c>
      <c r="S18" s="75">
        <v>4834</v>
      </c>
      <c r="T18" s="75">
        <f t="shared" si="6"/>
        <v>9391.5665710750018</v>
      </c>
      <c r="U18" s="75">
        <f t="shared" si="7"/>
        <v>2456.2558724349997</v>
      </c>
      <c r="V18" s="73">
        <f t="shared" si="20"/>
        <v>1540201.4305386038</v>
      </c>
      <c r="W18" s="84">
        <f t="shared" si="21"/>
        <v>1642720.6338186038</v>
      </c>
      <c r="X18" s="32">
        <f>D18*95/100</f>
        <v>1224454.5725</v>
      </c>
      <c r="Y18" s="32">
        <f t="shared" si="25"/>
        <v>7958.9547212500011</v>
      </c>
      <c r="Z18" s="32">
        <f t="shared" si="26"/>
        <v>1432.611849825</v>
      </c>
      <c r="AA18" s="32">
        <f t="shared" si="27"/>
        <v>9391.5665710750018</v>
      </c>
      <c r="AC18" s="7">
        <v>1236879</v>
      </c>
      <c r="AD18" s="7">
        <v>37337</v>
      </c>
      <c r="AE18" s="7">
        <v>37219</v>
      </c>
      <c r="AF18" s="32">
        <f t="shared" si="12"/>
        <v>-52020.550000000047</v>
      </c>
      <c r="AG18" s="32">
        <f t="shared" si="13"/>
        <v>-8833.7576750938897</v>
      </c>
      <c r="AH18" s="32">
        <f t="shared" si="14"/>
        <v>-6296.7576750938897</v>
      </c>
      <c r="AI18" s="31">
        <v>1501322</v>
      </c>
      <c r="AJ18" s="31">
        <v>1603460</v>
      </c>
      <c r="AK18" s="32">
        <f t="shared" si="15"/>
        <v>-38879.430538603803</v>
      </c>
      <c r="AL18" s="32">
        <f t="shared" si="16"/>
        <v>-39260.633818603819</v>
      </c>
    </row>
    <row r="19" spans="1:38" ht="20.100000000000001" customHeight="1" thickBot="1">
      <c r="A19" s="283"/>
      <c r="B19" s="289"/>
      <c r="C19" s="85" t="s">
        <v>27</v>
      </c>
      <c r="D19" s="128">
        <v>1294899.56</v>
      </c>
      <c r="E19" s="89">
        <f t="shared" si="17"/>
        <v>12948.9956</v>
      </c>
      <c r="F19" s="107">
        <f t="shared" si="0"/>
        <v>46309.972655118479</v>
      </c>
      <c r="G19" s="86">
        <f t="shared" si="18"/>
        <v>159995.706144</v>
      </c>
      <c r="H19" s="86">
        <v>600</v>
      </c>
      <c r="I19" s="86">
        <v>3499</v>
      </c>
      <c r="J19" s="88">
        <f t="shared" si="1"/>
        <v>1518253.2343991185</v>
      </c>
      <c r="K19" s="86">
        <f t="shared" si="2"/>
        <v>1294899.56</v>
      </c>
      <c r="L19" s="89">
        <f t="shared" si="19"/>
        <v>12948.9956</v>
      </c>
      <c r="M19" s="107">
        <f t="shared" si="3"/>
        <v>43654.972655118479</v>
      </c>
      <c r="N19" s="86">
        <f t="shared" si="4"/>
        <v>265659.51024000003</v>
      </c>
      <c r="O19" s="86">
        <v>600</v>
      </c>
      <c r="P19" s="86">
        <v>3499</v>
      </c>
      <c r="Q19" s="88">
        <f t="shared" si="5"/>
        <v>1621262.0384951185</v>
      </c>
      <c r="R19" s="89">
        <v>12200</v>
      </c>
      <c r="S19" s="89">
        <v>4834</v>
      </c>
      <c r="T19" s="89">
        <f t="shared" si="6"/>
        <v>9435.2856439399984</v>
      </c>
      <c r="U19" s="89">
        <f t="shared" si="7"/>
        <v>2467.6900914920002</v>
      </c>
      <c r="V19" s="88">
        <f t="shared" ref="V19" si="28">J19+R19+S19+T19+U19</f>
        <v>1547190.2101345505</v>
      </c>
      <c r="W19" s="101">
        <f t="shared" ref="W19" si="29">Q19+R19+S19+U19+T19</f>
        <v>1650199.0142305505</v>
      </c>
      <c r="X19" s="32">
        <f>D19*95/100</f>
        <v>1230154.5819999999</v>
      </c>
      <c r="Y19" s="32">
        <f t="shared" si="25"/>
        <v>7996.0047829999994</v>
      </c>
      <c r="Z19" s="32">
        <f t="shared" si="26"/>
        <v>1439.2808609399999</v>
      </c>
      <c r="AA19" s="32">
        <f t="shared" si="27"/>
        <v>9435.2856439399984</v>
      </c>
      <c r="AC19" s="14">
        <v>1242879</v>
      </c>
      <c r="AD19" s="15">
        <v>37498</v>
      </c>
      <c r="AE19" s="14">
        <v>37380</v>
      </c>
      <c r="AF19" s="32">
        <f t="shared" si="12"/>
        <v>-52020.560000000056</v>
      </c>
      <c r="AG19" s="32">
        <f t="shared" si="13"/>
        <v>-8811.9726551184795</v>
      </c>
      <c r="AH19" s="32">
        <f t="shared" si="14"/>
        <v>-6274.9726551184795</v>
      </c>
      <c r="AI19" s="31">
        <v>1508309</v>
      </c>
      <c r="AJ19" s="31">
        <v>1610937</v>
      </c>
      <c r="AK19" s="32">
        <f t="shared" si="15"/>
        <v>-38881.210134550463</v>
      </c>
      <c r="AL19" s="32">
        <f t="shared" si="16"/>
        <v>-39262.0142305505</v>
      </c>
    </row>
    <row r="20" spans="1:38" s="41" customFormat="1" ht="12.75" customHeight="1" thickBot="1">
      <c r="E20" s="111"/>
      <c r="X20" s="40"/>
      <c r="Y20" s="40"/>
      <c r="Z20" s="40"/>
      <c r="AA20" s="40"/>
      <c r="AF20" s="40"/>
      <c r="AG20" s="40"/>
      <c r="AH20" s="40"/>
    </row>
    <row r="21" spans="1:38" ht="21.6" customHeight="1">
      <c r="A21" s="281" t="s">
        <v>94</v>
      </c>
      <c r="B21" s="284" t="s">
        <v>137</v>
      </c>
      <c r="C21" s="78" t="s">
        <v>26</v>
      </c>
      <c r="D21" s="171">
        <v>1190399.58</v>
      </c>
      <c r="E21" s="79">
        <f t="shared" ref="E21:E26" si="30">D21*1/100</f>
        <v>11903.995800000001</v>
      </c>
      <c r="F21" s="105">
        <f t="shared" ref="F21:F26" si="31">((D21*95%*3.283%)-((D21*95%*3.283%)*40%)+14034)+((D21*95%*3.283%)-((D21*95%*3.283%)*40%)+14034)*18%+(D21*95%*0.1%+250)+(D21*95%*0.1%+250)*18%-IF((((D21*95%*3.283%)-((D21*95%*3.283%)*40%))*2.5%)&gt;500,500,(((D21*95%*3.283%)-((D21*95%*3.283%)*40%))*2.5%))-IF((((D21*95%*3.283%)-((D21*95%*3.283%)*40%))*2.5%)&gt;500,500,(((D21*95%*3.283%)-((D21*95%*3.283%)*40%))*2.5%))*18%</f>
        <v>43885.316258167637</v>
      </c>
      <c r="G21" s="79">
        <f t="shared" ref="G21:G26" si="32">(D21*14/100)+(D21*14/100)*2/100+1500</f>
        <v>171489.06002400001</v>
      </c>
      <c r="H21" s="79">
        <v>600</v>
      </c>
      <c r="I21" s="79">
        <v>3499</v>
      </c>
      <c r="J21" s="80">
        <f t="shared" ref="J21:J26" si="33">D21+F21+G21+I21+H21+E21</f>
        <v>1421776.9520821676</v>
      </c>
      <c r="K21" s="79">
        <f t="shared" ref="K21:K26" si="34">D21</f>
        <v>1190399.58</v>
      </c>
      <c r="L21" s="82">
        <f t="shared" ref="L21:L26" si="35">K21*1/100</f>
        <v>11903.995800000001</v>
      </c>
      <c r="M21" s="105">
        <f t="shared" ref="M21:M26" si="36">((K21*95%*3.283%)-((K21*95%*3.283%)*40%)+11784)+((K21*95%*3.283%)-((K21*95%*3.283%)*40%)+11784)*18%+(K21*95%*0.1%+250)+(K21*95%*0.1%+250)*18%-IF((((K21*95%*3.283%)-((K21*95%*3.283%)*40%))*2.5%)&gt;500,500,(((K21*95%*3.283%)-((K21*95%*3.283%)*40%))*2.5%))-IF((((K21*95%*3.283%)-((K21*95%*3.283%)*40%))*2.5%)&gt;500,500,(((K21*95%*3.283%)-((K21*95%*3.283%)*40%))*2.5%))*18%</f>
        <v>41230.316258167637</v>
      </c>
      <c r="N21" s="82">
        <f t="shared" ref="N21:N26" si="37">(K21*20/100)+(K21*20/100)*2/100+1500</f>
        <v>244341.51432000002</v>
      </c>
      <c r="O21" s="82">
        <v>600</v>
      </c>
      <c r="P21" s="79">
        <v>3499</v>
      </c>
      <c r="Q21" s="80">
        <f t="shared" ref="Q21:Q26" si="38">K21+M21+N21+P21+O21+L21</f>
        <v>1491974.4063781677</v>
      </c>
      <c r="R21" s="82">
        <v>15384</v>
      </c>
      <c r="S21" s="82">
        <v>4834</v>
      </c>
      <c r="T21" s="82">
        <f t="shared" ref="T21:T24" si="39">AA21</f>
        <v>8673.8465396700012</v>
      </c>
      <c r="U21" s="82">
        <f t="shared" ref="U21:U26" si="40">((D21*95%)*0.17%)*1.18</f>
        <v>2268.5444796060001</v>
      </c>
      <c r="V21" s="80">
        <f t="shared" ref="V21" si="41">J21+R21+S21+T21+U21</f>
        <v>1452937.3431014435</v>
      </c>
      <c r="W21" s="83">
        <f t="shared" ref="W21" si="42">Q21+R21+S21+U21+T21</f>
        <v>1523134.7973974436</v>
      </c>
      <c r="X21" s="32">
        <f t="shared" ref="X21:X26" si="43">D21*95/100</f>
        <v>1130879.601</v>
      </c>
      <c r="Y21" s="32">
        <f t="shared" ref="Y21" si="44">X21*0.65/100</f>
        <v>7350.7174065000008</v>
      </c>
      <c r="Z21" s="32">
        <f t="shared" ref="Z21" si="45">Y21*18/100</f>
        <v>1323.1291331700004</v>
      </c>
      <c r="AA21" s="32">
        <f t="shared" ref="AA21" si="46">Y21+Z21</f>
        <v>8673.8465396700012</v>
      </c>
      <c r="AC21" s="17">
        <v>1138077</v>
      </c>
      <c r="AD21" s="18">
        <v>34681</v>
      </c>
      <c r="AE21" s="18">
        <v>34563</v>
      </c>
      <c r="AF21" s="32">
        <f t="shared" ref="AF21:AF26" si="47">AC21-D21</f>
        <v>-52322.580000000075</v>
      </c>
      <c r="AG21" s="32">
        <f t="shared" ref="AG21:AG26" si="48">AD21-F21</f>
        <v>-9204.316258167637</v>
      </c>
      <c r="AH21" s="32">
        <f t="shared" ref="AH21:AH26" si="49">AE21-M21</f>
        <v>-6667.316258167637</v>
      </c>
      <c r="AI21" s="31">
        <v>1412991</v>
      </c>
      <c r="AJ21" s="31">
        <v>1483520</v>
      </c>
      <c r="AK21" s="32">
        <f t="shared" ref="AK21:AK26" si="50">+AI21-V21</f>
        <v>-39946.34310144349</v>
      </c>
      <c r="AL21" s="32">
        <f t="shared" ref="AL21:AL26" si="51">+AJ21-W21</f>
        <v>-39614.797397443559</v>
      </c>
    </row>
    <row r="22" spans="1:38" ht="21.6" customHeight="1">
      <c r="A22" s="282"/>
      <c r="B22" s="285"/>
      <c r="C22" s="71" t="s">
        <v>27</v>
      </c>
      <c r="D22" s="127">
        <v>1196399.6000000001</v>
      </c>
      <c r="E22" s="75">
        <f t="shared" si="30"/>
        <v>11963.996000000001</v>
      </c>
      <c r="F22" s="106">
        <f t="shared" si="31"/>
        <v>44024.531470216796</v>
      </c>
      <c r="G22" s="72">
        <f t="shared" si="32"/>
        <v>172345.86288000003</v>
      </c>
      <c r="H22" s="72">
        <v>600</v>
      </c>
      <c r="I22" s="72">
        <v>3499</v>
      </c>
      <c r="J22" s="73">
        <f t="shared" si="33"/>
        <v>1428832.9903502169</v>
      </c>
      <c r="K22" s="72">
        <f t="shared" si="34"/>
        <v>1196399.6000000001</v>
      </c>
      <c r="L22" s="75">
        <f t="shared" si="35"/>
        <v>11963.996000000001</v>
      </c>
      <c r="M22" s="106">
        <f t="shared" si="36"/>
        <v>41369.531470216796</v>
      </c>
      <c r="N22" s="75">
        <f t="shared" si="37"/>
        <v>245565.5184</v>
      </c>
      <c r="O22" s="75">
        <v>600</v>
      </c>
      <c r="P22" s="72">
        <v>3499</v>
      </c>
      <c r="Q22" s="73">
        <f t="shared" si="38"/>
        <v>1499397.6458702169</v>
      </c>
      <c r="R22" s="75">
        <v>15384</v>
      </c>
      <c r="S22" s="75">
        <v>4834</v>
      </c>
      <c r="T22" s="75">
        <f t="shared" si="39"/>
        <v>8717.5656854000008</v>
      </c>
      <c r="U22" s="75">
        <f t="shared" si="40"/>
        <v>2279.9787177200005</v>
      </c>
      <c r="V22" s="73">
        <f t="shared" ref="V22:V26" si="52">J22+R22+S22+T22+U22</f>
        <v>1460048.5347533368</v>
      </c>
      <c r="W22" s="84">
        <f t="shared" ref="W22:W26" si="53">Q22+R22+S22+U22+T22</f>
        <v>1530613.1902733368</v>
      </c>
      <c r="X22" s="32">
        <f t="shared" si="43"/>
        <v>1136579.6200000001</v>
      </c>
      <c r="Y22" s="32">
        <f t="shared" ref="Y22:Y26" si="54">X22*0.65/100</f>
        <v>7387.767530000001</v>
      </c>
      <c r="Z22" s="32">
        <f t="shared" ref="Z22:Z26" si="55">Y22*18/100</f>
        <v>1329.7981554</v>
      </c>
      <c r="AA22" s="32">
        <f t="shared" ref="AA22:AA26" si="56">Y22+Z22</f>
        <v>8717.5656854000008</v>
      </c>
      <c r="AC22" s="17">
        <v>1144077</v>
      </c>
      <c r="AD22" s="7">
        <v>34842</v>
      </c>
      <c r="AE22" s="18">
        <v>34724</v>
      </c>
      <c r="AF22" s="32">
        <f t="shared" si="47"/>
        <v>-52322.600000000093</v>
      </c>
      <c r="AG22" s="32">
        <f t="shared" si="48"/>
        <v>-9182.5314702167962</v>
      </c>
      <c r="AH22" s="32">
        <f t="shared" si="49"/>
        <v>-6645.5314702167962</v>
      </c>
      <c r="AI22" s="31">
        <v>1420102</v>
      </c>
      <c r="AJ22" s="31">
        <v>1490998</v>
      </c>
      <c r="AK22" s="32">
        <f t="shared" si="50"/>
        <v>-39946.534753336804</v>
      </c>
      <c r="AL22" s="32">
        <f t="shared" si="51"/>
        <v>-39615.190273336833</v>
      </c>
    </row>
    <row r="23" spans="1:38" ht="21.6" customHeight="1">
      <c r="A23" s="282"/>
      <c r="B23" s="285" t="s">
        <v>138</v>
      </c>
      <c r="C23" s="71" t="s">
        <v>26</v>
      </c>
      <c r="D23" s="127">
        <v>1276399.54</v>
      </c>
      <c r="E23" s="75">
        <f t="shared" si="30"/>
        <v>12763.9954</v>
      </c>
      <c r="F23" s="106">
        <f t="shared" si="31"/>
        <v>45880.726718069323</v>
      </c>
      <c r="G23" s="72">
        <f t="shared" si="32"/>
        <v>183769.85431200004</v>
      </c>
      <c r="H23" s="72">
        <v>600</v>
      </c>
      <c r="I23" s="72">
        <v>3499</v>
      </c>
      <c r="J23" s="73">
        <f t="shared" si="33"/>
        <v>1522913.1164300693</v>
      </c>
      <c r="K23" s="72">
        <f t="shared" si="34"/>
        <v>1276399.54</v>
      </c>
      <c r="L23" s="75">
        <f t="shared" si="35"/>
        <v>12763.9954</v>
      </c>
      <c r="M23" s="106">
        <f t="shared" si="36"/>
        <v>43225.726718069323</v>
      </c>
      <c r="N23" s="75">
        <f t="shared" si="37"/>
        <v>261885.50615999999</v>
      </c>
      <c r="O23" s="75">
        <v>600</v>
      </c>
      <c r="P23" s="72">
        <v>3499</v>
      </c>
      <c r="Q23" s="73">
        <f t="shared" si="38"/>
        <v>1598373.7682780693</v>
      </c>
      <c r="R23" s="75">
        <v>15384</v>
      </c>
      <c r="S23" s="75">
        <v>4834</v>
      </c>
      <c r="T23" s="75">
        <f t="shared" si="39"/>
        <v>9300.4852482100014</v>
      </c>
      <c r="U23" s="75">
        <f t="shared" si="40"/>
        <v>2432.4346033780002</v>
      </c>
      <c r="V23" s="73">
        <f t="shared" si="52"/>
        <v>1554864.0362816572</v>
      </c>
      <c r="W23" s="84">
        <f t="shared" si="53"/>
        <v>1630324.6881296572</v>
      </c>
      <c r="X23" s="32">
        <f t="shared" si="43"/>
        <v>1212579.5630000001</v>
      </c>
      <c r="Y23" s="32">
        <f t="shared" si="54"/>
        <v>7881.7671595000011</v>
      </c>
      <c r="Z23" s="32">
        <f t="shared" si="55"/>
        <v>1418.7180887100001</v>
      </c>
      <c r="AA23" s="32">
        <f t="shared" si="56"/>
        <v>9300.4852482100014</v>
      </c>
      <c r="AC23" s="17">
        <v>1223582</v>
      </c>
      <c r="AD23" s="18">
        <v>36980</v>
      </c>
      <c r="AE23" s="18">
        <v>36862</v>
      </c>
      <c r="AF23" s="32">
        <f t="shared" si="47"/>
        <v>-52817.540000000037</v>
      </c>
      <c r="AG23" s="32">
        <f t="shared" si="48"/>
        <v>-8900.7267180693234</v>
      </c>
      <c r="AH23" s="32">
        <f t="shared" si="49"/>
        <v>-6363.7267180693234</v>
      </c>
      <c r="AI23" s="31">
        <v>1514331</v>
      </c>
      <c r="AJ23" s="31">
        <v>1590093</v>
      </c>
      <c r="AK23" s="32">
        <f t="shared" si="50"/>
        <v>-40533.036281657172</v>
      </c>
      <c r="AL23" s="32">
        <f t="shared" si="51"/>
        <v>-40231.688129657181</v>
      </c>
    </row>
    <row r="24" spans="1:38" ht="21.6" customHeight="1">
      <c r="A24" s="282"/>
      <c r="B24" s="285"/>
      <c r="C24" s="71" t="s">
        <v>27</v>
      </c>
      <c r="D24" s="127">
        <v>1282399.56</v>
      </c>
      <c r="E24" s="75">
        <f t="shared" si="30"/>
        <v>12823.9956</v>
      </c>
      <c r="F24" s="106">
        <f t="shared" si="31"/>
        <v>46019.941930118475</v>
      </c>
      <c r="G24" s="72">
        <f t="shared" si="32"/>
        <v>184626.65716799998</v>
      </c>
      <c r="H24" s="72">
        <v>600</v>
      </c>
      <c r="I24" s="72">
        <v>3499</v>
      </c>
      <c r="J24" s="73">
        <f t="shared" si="33"/>
        <v>1529969.1546981186</v>
      </c>
      <c r="K24" s="72">
        <f t="shared" si="34"/>
        <v>1282399.56</v>
      </c>
      <c r="L24" s="75">
        <f t="shared" si="35"/>
        <v>12823.9956</v>
      </c>
      <c r="M24" s="106">
        <f t="shared" si="36"/>
        <v>43364.941930118475</v>
      </c>
      <c r="N24" s="75">
        <f t="shared" si="37"/>
        <v>263109.51024000003</v>
      </c>
      <c r="O24" s="75">
        <v>600</v>
      </c>
      <c r="P24" s="72">
        <v>3499</v>
      </c>
      <c r="Q24" s="73">
        <f t="shared" si="38"/>
        <v>1605797.0077701185</v>
      </c>
      <c r="R24" s="75">
        <v>15384</v>
      </c>
      <c r="S24" s="75">
        <v>4834</v>
      </c>
      <c r="T24" s="75">
        <f t="shared" si="39"/>
        <v>9344.2043939399991</v>
      </c>
      <c r="U24" s="75">
        <f t="shared" si="40"/>
        <v>2443.8688414920002</v>
      </c>
      <c r="V24" s="73">
        <f t="shared" si="52"/>
        <v>1561975.2279335507</v>
      </c>
      <c r="W24" s="84">
        <f t="shared" si="53"/>
        <v>1637803.0810055507</v>
      </c>
      <c r="X24" s="32">
        <f t="shared" si="43"/>
        <v>1218279.5819999999</v>
      </c>
      <c r="Y24" s="32">
        <f t="shared" si="54"/>
        <v>7918.8172829999994</v>
      </c>
      <c r="Z24" s="32">
        <f t="shared" si="55"/>
        <v>1425.38711094</v>
      </c>
      <c r="AA24" s="32">
        <f t="shared" si="56"/>
        <v>9344.2043939399991</v>
      </c>
      <c r="AC24" s="17">
        <v>1229582</v>
      </c>
      <c r="AD24" s="7">
        <v>37141</v>
      </c>
      <c r="AE24" s="18">
        <v>37023</v>
      </c>
      <c r="AF24" s="32">
        <f t="shared" si="47"/>
        <v>-52817.560000000056</v>
      </c>
      <c r="AG24" s="32">
        <f t="shared" si="48"/>
        <v>-8878.9419301184753</v>
      </c>
      <c r="AH24" s="32">
        <f t="shared" si="49"/>
        <v>-6341.9419301184753</v>
      </c>
      <c r="AI24" s="31">
        <v>1521442</v>
      </c>
      <c r="AJ24" s="31">
        <v>1597571</v>
      </c>
      <c r="AK24" s="32">
        <f t="shared" si="50"/>
        <v>-40533.227933550719</v>
      </c>
      <c r="AL24" s="32">
        <f t="shared" si="51"/>
        <v>-40232.081005550688</v>
      </c>
    </row>
    <row r="25" spans="1:38" ht="21.6" customHeight="1">
      <c r="A25" s="282"/>
      <c r="B25" s="285" t="s">
        <v>83</v>
      </c>
      <c r="C25" s="71" t="s">
        <v>26</v>
      </c>
      <c r="D25" s="75">
        <v>1385899.53</v>
      </c>
      <c r="E25" s="75">
        <f t="shared" si="30"/>
        <v>13858.9953</v>
      </c>
      <c r="F25" s="106">
        <f t="shared" si="31"/>
        <v>48421.395637044734</v>
      </c>
      <c r="G25" s="72">
        <f t="shared" si="32"/>
        <v>199406.45288400003</v>
      </c>
      <c r="H25" s="72">
        <v>600</v>
      </c>
      <c r="I25" s="72">
        <v>3499</v>
      </c>
      <c r="J25" s="73">
        <f t="shared" si="33"/>
        <v>1651685.3738210448</v>
      </c>
      <c r="K25" s="72">
        <f t="shared" si="34"/>
        <v>1385899.53</v>
      </c>
      <c r="L25" s="75">
        <f t="shared" si="35"/>
        <v>13858.9953</v>
      </c>
      <c r="M25" s="106">
        <f t="shared" si="36"/>
        <v>45766.395637044734</v>
      </c>
      <c r="N25" s="75">
        <f t="shared" si="37"/>
        <v>284223.50412</v>
      </c>
      <c r="O25" s="75">
        <v>600</v>
      </c>
      <c r="P25" s="72">
        <v>3499</v>
      </c>
      <c r="Q25" s="73">
        <f t="shared" si="38"/>
        <v>1733847.4250570447</v>
      </c>
      <c r="R25" s="75">
        <v>15384</v>
      </c>
      <c r="S25" s="75">
        <v>4834</v>
      </c>
      <c r="T25" s="75">
        <f t="shared" ref="T25:T26" si="57">AA25</f>
        <v>10098.356925345</v>
      </c>
      <c r="U25" s="75">
        <f t="shared" si="40"/>
        <v>2641.1087343210002</v>
      </c>
      <c r="V25" s="73">
        <f t="shared" si="52"/>
        <v>1684642.8394807109</v>
      </c>
      <c r="W25" s="84">
        <f t="shared" si="53"/>
        <v>1766804.8907167108</v>
      </c>
      <c r="X25" s="32">
        <f t="shared" si="43"/>
        <v>1316604.5535000002</v>
      </c>
      <c r="Y25" s="32">
        <f t="shared" si="54"/>
        <v>8557.9295977500005</v>
      </c>
      <c r="Z25" s="32">
        <f t="shared" si="55"/>
        <v>1540.4273275950002</v>
      </c>
      <c r="AA25" s="32">
        <f t="shared" si="56"/>
        <v>10098.356925345</v>
      </c>
      <c r="AC25" s="17">
        <v>1327379</v>
      </c>
      <c r="AD25" s="18">
        <v>39770</v>
      </c>
      <c r="AE25" s="18">
        <v>39652</v>
      </c>
      <c r="AF25" s="32">
        <f t="shared" si="47"/>
        <v>-58520.530000000028</v>
      </c>
      <c r="AG25" s="32">
        <f t="shared" si="48"/>
        <v>-8651.395637044734</v>
      </c>
      <c r="AH25" s="32">
        <f t="shared" si="49"/>
        <v>-6114.395637044734</v>
      </c>
      <c r="AI25" s="31">
        <v>1637350</v>
      </c>
      <c r="AJ25" s="31">
        <v>1719464</v>
      </c>
      <c r="AK25" s="32">
        <f t="shared" si="50"/>
        <v>-47292.839480710914</v>
      </c>
      <c r="AL25" s="32">
        <f t="shared" si="51"/>
        <v>-47340.890716710826</v>
      </c>
    </row>
    <row r="26" spans="1:38" ht="21.6" customHeight="1" thickBot="1">
      <c r="A26" s="283"/>
      <c r="B26" s="286"/>
      <c r="C26" s="85" t="s">
        <v>27</v>
      </c>
      <c r="D26" s="89">
        <v>1391899.52</v>
      </c>
      <c r="E26" s="89">
        <f t="shared" si="30"/>
        <v>13918.995199999999</v>
      </c>
      <c r="F26" s="107">
        <f t="shared" si="31"/>
        <v>48560.610153020149</v>
      </c>
      <c r="G26" s="86">
        <f t="shared" si="32"/>
        <v>200263.251456</v>
      </c>
      <c r="H26" s="86">
        <v>600</v>
      </c>
      <c r="I26" s="86">
        <v>3499</v>
      </c>
      <c r="J26" s="88">
        <f t="shared" si="33"/>
        <v>1658741.3768090201</v>
      </c>
      <c r="K26" s="86">
        <f t="shared" si="34"/>
        <v>1391899.52</v>
      </c>
      <c r="L26" s="89">
        <f t="shared" si="35"/>
        <v>13918.995199999999</v>
      </c>
      <c r="M26" s="107">
        <f t="shared" si="36"/>
        <v>45905.610153020149</v>
      </c>
      <c r="N26" s="89">
        <f t="shared" si="37"/>
        <v>285447.50208000001</v>
      </c>
      <c r="O26" s="89">
        <v>600</v>
      </c>
      <c r="P26" s="86">
        <v>3499</v>
      </c>
      <c r="Q26" s="88">
        <f t="shared" si="38"/>
        <v>1741270.6274330202</v>
      </c>
      <c r="R26" s="89">
        <v>15384</v>
      </c>
      <c r="S26" s="89">
        <v>4834</v>
      </c>
      <c r="T26" s="89">
        <f t="shared" si="57"/>
        <v>10142.07585248</v>
      </c>
      <c r="U26" s="89">
        <f t="shared" si="40"/>
        <v>2652.5429152639999</v>
      </c>
      <c r="V26" s="88">
        <f t="shared" si="52"/>
        <v>1691753.995576764</v>
      </c>
      <c r="W26" s="101">
        <f t="shared" si="53"/>
        <v>1774283.2462007641</v>
      </c>
      <c r="X26" s="32">
        <f t="shared" si="43"/>
        <v>1322304.544</v>
      </c>
      <c r="Y26" s="32">
        <f t="shared" si="54"/>
        <v>8594.9795360000007</v>
      </c>
      <c r="Z26" s="32">
        <f t="shared" si="55"/>
        <v>1547.09631648</v>
      </c>
      <c r="AA26" s="32">
        <f t="shared" si="56"/>
        <v>10142.07585248</v>
      </c>
      <c r="AC26" s="19">
        <v>1333379</v>
      </c>
      <c r="AD26" s="15">
        <v>39931</v>
      </c>
      <c r="AE26" s="15">
        <v>39813</v>
      </c>
      <c r="AF26" s="32">
        <f t="shared" si="47"/>
        <v>-58520.520000000019</v>
      </c>
      <c r="AG26" s="32">
        <f t="shared" si="48"/>
        <v>-8629.6101530201486</v>
      </c>
      <c r="AH26" s="32">
        <f t="shared" si="49"/>
        <v>-6092.6101530201486</v>
      </c>
      <c r="AI26" s="31">
        <v>1644461</v>
      </c>
      <c r="AJ26" s="31">
        <v>1726942</v>
      </c>
      <c r="AK26" s="32">
        <f t="shared" si="50"/>
        <v>-47292.995576763991</v>
      </c>
      <c r="AL26" s="32">
        <f t="shared" si="51"/>
        <v>-47341.246200764086</v>
      </c>
    </row>
    <row r="27" spans="1:38">
      <c r="AF27" s="32"/>
      <c r="AG27" s="32"/>
      <c r="AH27" s="32"/>
    </row>
    <row r="28" spans="1:38" s="44" customFormat="1"/>
    <row r="29" spans="1:38" s="44" customFormat="1" ht="18.75">
      <c r="A29" s="63" t="s">
        <v>131</v>
      </c>
      <c r="B29" s="53"/>
      <c r="C29" s="52"/>
      <c r="D29" s="60"/>
      <c r="E29" s="54"/>
      <c r="F29" s="54"/>
      <c r="G29" s="54"/>
      <c r="H29" s="54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55"/>
    </row>
    <row r="30" spans="1:38" s="44" customFormat="1" ht="18.75">
      <c r="A30" s="63"/>
      <c r="B30" s="53"/>
      <c r="C30" s="52"/>
      <c r="D30" s="60"/>
      <c r="E30" s="54"/>
      <c r="F30" s="54"/>
      <c r="G30" s="54"/>
      <c r="H30" s="54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55"/>
    </row>
    <row r="31" spans="1:38" s="44" customFormat="1">
      <c r="A31" s="56" t="s">
        <v>52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</row>
    <row r="32" spans="1:38" s="44" customFormat="1">
      <c r="A32" s="61" t="s">
        <v>95</v>
      </c>
      <c r="B32" s="49"/>
      <c r="C32" s="47" t="s">
        <v>54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57"/>
    </row>
    <row r="33" spans="1:23" s="44" customFormat="1">
      <c r="A33" s="61" t="s">
        <v>96</v>
      </c>
      <c r="B33" s="49"/>
      <c r="C33" s="47" t="s">
        <v>97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57"/>
    </row>
    <row r="34" spans="1:23" s="44" customForma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7"/>
    </row>
    <row r="35" spans="1:23" s="44" customFormat="1">
      <c r="A35" s="58" t="s">
        <v>35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7"/>
    </row>
    <row r="36" spans="1:23" s="44" customFormat="1">
      <c r="A36" s="48" t="s">
        <v>36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  <c r="U36" s="51"/>
      <c r="V36" s="51"/>
      <c r="W36" s="51"/>
    </row>
    <row r="37" spans="1:23" s="44" customFormat="1">
      <c r="A37" s="52" t="s">
        <v>130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51"/>
      <c r="W37" s="51"/>
    </row>
    <row r="38" spans="1:23" s="44" customFormat="1">
      <c r="A38" s="52" t="s">
        <v>38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51"/>
      <c r="W38" s="51"/>
    </row>
    <row r="39" spans="1:23" s="44" customFormat="1">
      <c r="A39" s="62" t="s">
        <v>127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51"/>
      <c r="W39" s="51"/>
    </row>
    <row r="40" spans="1:23" s="44" customFormat="1">
      <c r="A40" s="125" t="s">
        <v>176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1"/>
      <c r="W40" s="51"/>
    </row>
    <row r="41" spans="1:23" s="44" customFormat="1">
      <c r="A41" s="62" t="s">
        <v>128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51"/>
      <c r="W41" s="51"/>
    </row>
    <row r="42" spans="1:23" s="44" customFormat="1">
      <c r="A42" s="48" t="s">
        <v>39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51"/>
      <c r="W42" s="51"/>
    </row>
    <row r="43" spans="1:23" s="44" customFormat="1" ht="12.75" customHeight="1">
      <c r="A43" s="48" t="s">
        <v>40</v>
      </c>
      <c r="B43" s="29"/>
      <c r="C43" s="29"/>
      <c r="D43" s="29"/>
      <c r="E43" s="29"/>
      <c r="F43" s="29"/>
      <c r="G43" s="69"/>
      <c r="H43" s="29"/>
      <c r="I43" s="29"/>
      <c r="J43" s="29"/>
      <c r="K43" s="29"/>
      <c r="L43" s="29"/>
      <c r="M43" s="29"/>
      <c r="N43" s="69"/>
      <c r="O43" s="29"/>
      <c r="P43" s="29"/>
      <c r="Q43" s="29"/>
      <c r="R43" s="29"/>
      <c r="S43" s="29"/>
      <c r="T43" s="29"/>
      <c r="U43" s="99"/>
      <c r="V43" s="29"/>
      <c r="W43" s="29"/>
    </row>
    <row r="44" spans="1:23" s="44" customFormat="1" ht="12.75" customHeight="1">
      <c r="A44" s="181" t="s">
        <v>41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</row>
    <row r="45" spans="1:23" s="44" customFormat="1">
      <c r="A45" s="48" t="s">
        <v>42</v>
      </c>
    </row>
    <row r="46" spans="1:23" s="44" customFormat="1">
      <c r="A46" s="48" t="s">
        <v>171</v>
      </c>
    </row>
    <row r="47" spans="1:23" s="44" customFormat="1"/>
    <row r="48" spans="1:23" s="44" customFormat="1"/>
    <row r="49" spans="16:16" s="44" customFormat="1"/>
    <row r="50" spans="16:16" s="44" customFormat="1">
      <c r="P50" s="116"/>
    </row>
  </sheetData>
  <sheetProtection selectLockedCells="1" selectUnlockedCells="1"/>
  <mergeCells count="24">
    <mergeCell ref="A1:W1"/>
    <mergeCell ref="A2:W2"/>
    <mergeCell ref="A3:W3"/>
    <mergeCell ref="A4:W4"/>
    <mergeCell ref="A5:W5"/>
    <mergeCell ref="A6:W6"/>
    <mergeCell ref="A7:W7"/>
    <mergeCell ref="A8:A9"/>
    <mergeCell ref="B8:C9"/>
    <mergeCell ref="D8:J8"/>
    <mergeCell ref="K8:Q8"/>
    <mergeCell ref="R8:U8"/>
    <mergeCell ref="V8:W8"/>
    <mergeCell ref="A10:A19"/>
    <mergeCell ref="B10:B11"/>
    <mergeCell ref="B12:B13"/>
    <mergeCell ref="B14:B15"/>
    <mergeCell ref="B16:B17"/>
    <mergeCell ref="B18:B19"/>
    <mergeCell ref="A21:A26"/>
    <mergeCell ref="B21:B22"/>
    <mergeCell ref="B23:B24"/>
    <mergeCell ref="B25:B26"/>
    <mergeCell ref="A44:W44"/>
  </mergeCells>
  <pageMargins left="0.22500000000000001" right="0.26458333333333334" top="0.43611111111111112" bottom="0.32013888888888886" header="0.51180555555555551" footer="0.51180555555555551"/>
  <pageSetup scale="38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workbookViewId="0">
      <selection sqref="A1:W1"/>
    </sheetView>
  </sheetViews>
  <sheetFormatPr defaultColWidth="11.7109375" defaultRowHeight="15"/>
  <cols>
    <col min="1" max="1" width="4.7109375" style="31" customWidth="1"/>
    <col min="2" max="2" width="18.28515625" style="31" customWidth="1"/>
    <col min="3" max="3" width="9" style="31" customWidth="1"/>
    <col min="4" max="23" width="8.85546875" style="31" customWidth="1"/>
    <col min="24" max="35" width="11.7109375" style="31" hidden="1" customWidth="1"/>
    <col min="36" max="16384" width="11.7109375" style="31"/>
  </cols>
  <sheetData>
    <row r="1" spans="1:35" ht="46.5">
      <c r="A1" s="210" t="s">
        <v>104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</row>
    <row r="2" spans="1:35" ht="28.5">
      <c r="A2" s="213" t="s">
        <v>114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5"/>
    </row>
    <row r="3" spans="1:35" ht="28.5">
      <c r="A3" s="213" t="s">
        <v>105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5"/>
    </row>
    <row r="4" spans="1:35" ht="28.5">
      <c r="A4" s="213" t="s">
        <v>106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5"/>
    </row>
    <row r="5" spans="1:35" ht="20.25" customHeight="1">
      <c r="A5" s="216" t="s">
        <v>113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8"/>
    </row>
    <row r="6" spans="1:35" ht="19.5" thickBot="1">
      <c r="A6" s="198" t="s">
        <v>190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200"/>
    </row>
    <row r="7" spans="1:35" ht="15.75" thickBot="1">
      <c r="A7" s="201" t="s">
        <v>103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</row>
    <row r="8" spans="1:35" ht="40.5" customHeight="1" thickBot="1">
      <c r="A8" s="296" t="s">
        <v>4</v>
      </c>
      <c r="B8" s="203" t="s">
        <v>5</v>
      </c>
      <c r="C8" s="204"/>
      <c r="D8" s="298" t="s">
        <v>6</v>
      </c>
      <c r="E8" s="299"/>
      <c r="F8" s="299"/>
      <c r="G8" s="299"/>
      <c r="H8" s="299"/>
      <c r="I8" s="300"/>
      <c r="J8" s="301"/>
      <c r="K8" s="298" t="s">
        <v>7</v>
      </c>
      <c r="L8" s="302"/>
      <c r="M8" s="302"/>
      <c r="N8" s="302"/>
      <c r="O8" s="302"/>
      <c r="P8" s="303"/>
      <c r="Q8" s="304"/>
      <c r="R8" s="298" t="s">
        <v>8</v>
      </c>
      <c r="S8" s="302"/>
      <c r="T8" s="303"/>
      <c r="U8" s="304"/>
      <c r="V8" s="305" t="s">
        <v>192</v>
      </c>
      <c r="W8" s="306"/>
    </row>
    <row r="9" spans="1:35" ht="69" customHeight="1" thickBot="1">
      <c r="A9" s="297"/>
      <c r="B9" s="205"/>
      <c r="C9" s="206"/>
      <c r="D9" s="24" t="s">
        <v>10</v>
      </c>
      <c r="E9" s="25" t="s">
        <v>62</v>
      </c>
      <c r="F9" s="3" t="s">
        <v>11</v>
      </c>
      <c r="G9" s="4" t="s">
        <v>12</v>
      </c>
      <c r="H9" s="92" t="s">
        <v>133</v>
      </c>
      <c r="I9" s="170" t="s">
        <v>13</v>
      </c>
      <c r="J9" s="4" t="s">
        <v>14</v>
      </c>
      <c r="K9" s="24" t="s">
        <v>10</v>
      </c>
      <c r="L9" s="25" t="s">
        <v>62</v>
      </c>
      <c r="M9" s="3" t="s">
        <v>15</v>
      </c>
      <c r="N9" s="4" t="s">
        <v>12</v>
      </c>
      <c r="O9" s="92" t="s">
        <v>133</v>
      </c>
      <c r="P9" s="170" t="s">
        <v>13</v>
      </c>
      <c r="Q9" s="4" t="s">
        <v>14</v>
      </c>
      <c r="R9" s="26" t="s">
        <v>18</v>
      </c>
      <c r="S9" s="5" t="s">
        <v>180</v>
      </c>
      <c r="T9" s="5" t="s">
        <v>139</v>
      </c>
      <c r="U9" s="21" t="s">
        <v>21</v>
      </c>
      <c r="V9" s="26" t="s">
        <v>22</v>
      </c>
      <c r="W9" s="21" t="s">
        <v>23</v>
      </c>
    </row>
    <row r="10" spans="1:35" ht="21.6" customHeight="1">
      <c r="A10" s="290" t="s">
        <v>141</v>
      </c>
      <c r="B10" s="294" t="s">
        <v>168</v>
      </c>
      <c r="C10" s="95" t="s">
        <v>26</v>
      </c>
      <c r="D10" s="82">
        <v>2825000.01</v>
      </c>
      <c r="E10" s="82">
        <f t="shared" ref="E10:E15" si="0">D10*1/100</f>
        <v>28250.000099999997</v>
      </c>
      <c r="F10" s="133">
        <f>((D10*95%*3.44%)-((D10*95%*3.44%)*40%)+28205)+((D10*95%*3.44%)-((D10*95%*3.44%)*40%)+28205)*18%+(D10*95%*0.1%+350)+(D10*95%*0.1%+350)*18%-IF((((D10*95%*3.44%)-((D10*95%*3.44%)*40%))*2.5%)&gt;500,500,(((D10*95%*3.44%)-((D10*95%*3.44%)*40%))*2.5%))-IF((((D10*95%*3.44%)-((D10*95%*3.44%)*40%))*2.5%)&gt;500,500,(((D10*95%*3.44%)-((D10*95%*3.44%)*40%))*2.5%))*18%</f>
        <v>101634.9932425844</v>
      </c>
      <c r="G10" s="82">
        <f>(D10*13/100)+(D10*13/100)*2/100+1500</f>
        <v>376095.00132599997</v>
      </c>
      <c r="H10" s="79">
        <v>600</v>
      </c>
      <c r="I10" s="79">
        <v>7138</v>
      </c>
      <c r="J10" s="80">
        <f t="shared" ref="J10:J15" si="1">D10+F10+G10+H10+E10</f>
        <v>3331580.0046685836</v>
      </c>
      <c r="K10" s="82">
        <f>D10</f>
        <v>2825000.01</v>
      </c>
      <c r="L10" s="82">
        <f t="shared" ref="L10:L15" si="2">K10*1/100</f>
        <v>28250.000099999997</v>
      </c>
      <c r="M10" s="133">
        <f>((K10*95%*3.44%)-((K10*95%*3.44%)*40%)+25955)+((K10*95%*3.44%)-((K10*95%*3.44%)*40%)+25955)*18%+(K10*95%*0.1%+350)+(K10*95%*0.1%+350)*18%-IF((((K10*95%*3.44%)-((K10*95%*3.44%)*40%))*2.5%)&gt;500,500,(((K10*95%*3.44%)-((K10*95%*3.44%)*40%))*2.5%))-IF((((K10*95%*3.44%)-((K10*95%*3.44%)*40%))*2.5%)&gt;500,500,(((K10*95%*3.44%)-((K10*95%*3.44%)*40%))*2.5%))*18%</f>
        <v>98979.993242584402</v>
      </c>
      <c r="N10" s="82">
        <f>(K10*20/100)+(K10*20/100)*2/100+1500</f>
        <v>577800.00203999993</v>
      </c>
      <c r="O10" s="82">
        <v>600</v>
      </c>
      <c r="P10" s="79">
        <v>7138</v>
      </c>
      <c r="Q10" s="80">
        <f t="shared" ref="Q10:Q15" si="3">K10+M10+N10+O10+L10</f>
        <v>3530630.0053825835</v>
      </c>
      <c r="R10" s="82">
        <v>10000</v>
      </c>
      <c r="S10" s="82">
        <f t="shared" ref="S10:S13" si="4">AA10</f>
        <v>20584.362572864997</v>
      </c>
      <c r="T10" s="134">
        <f>((D10*95%)*0.125%)*1.18</f>
        <v>3958.5312640124994</v>
      </c>
      <c r="U10" s="82">
        <v>7999</v>
      </c>
      <c r="V10" s="80">
        <f t="shared" ref="V10:V15" si="5">J10+S10+U10+R10+T10</f>
        <v>3374121.8985054614</v>
      </c>
      <c r="W10" s="83">
        <f>Q10+U10+R10+T10+S10</f>
        <v>3573171.8992194613</v>
      </c>
      <c r="X10" s="32">
        <f t="shared" ref="X10:X13" si="6">D10*95/100</f>
        <v>2683750.0094999997</v>
      </c>
      <c r="Y10" s="32">
        <f t="shared" ref="Y10:Y13" si="7">X10*0.65/100</f>
        <v>17444.375061749997</v>
      </c>
      <c r="Z10" s="32">
        <f t="shared" ref="Z10:Z13" si="8">Y10*18/100</f>
        <v>3139.9875111149995</v>
      </c>
      <c r="AA10" s="32">
        <f t="shared" ref="AA10:AA13" si="9">Y10+Z10</f>
        <v>20584.362572864997</v>
      </c>
      <c r="AF10" s="31">
        <v>2943873</v>
      </c>
      <c r="AG10" s="31">
        <v>3120664</v>
      </c>
      <c r="AH10" s="32">
        <f>+AF10-V10</f>
        <v>-430248.8985054614</v>
      </c>
      <c r="AI10" s="32">
        <f>+AG10-W10</f>
        <v>-452507.89921946125</v>
      </c>
    </row>
    <row r="11" spans="1:35" ht="21.6" customHeight="1">
      <c r="A11" s="291"/>
      <c r="B11" s="293"/>
      <c r="C11" s="94" t="s">
        <v>27</v>
      </c>
      <c r="D11" s="72">
        <v>2837500.02</v>
      </c>
      <c r="E11" s="75">
        <f t="shared" si="0"/>
        <v>28375.000199999999</v>
      </c>
      <c r="F11" s="103">
        <f>((D11*95%*3.44%)-((D11*95%*3.44%)*40%)+28205)+((D11*95%*3.44%)-((D11*95%*3.44%)*40%)+28205)*18%+(D11*95%*0.1%+350)+(D11*95%*0.1%+350)*18%-IF((((D11*95%*3.44%)-((D11*95%*3.44%)*40%))*2.5%)&gt;500,500,(((D11*95%*3.44%)-((D11*95%*3.44%)*40%))*2.5%))-IF((((D11*95%*3.44%)-((D11*95%*3.44%)*40%))*2.5%)&gt;500,500,(((D11*95%*3.44%)-((D11*95%*3.44%)*40%))*2.5%))*18%</f>
        <v>101938.22398516879</v>
      </c>
      <c r="G11" s="72">
        <f>(D11*13/100)+(D11*13/100)*2/100+1500</f>
        <v>377752.502652</v>
      </c>
      <c r="H11" s="72">
        <v>600</v>
      </c>
      <c r="I11" s="72">
        <v>7138</v>
      </c>
      <c r="J11" s="73">
        <f t="shared" si="1"/>
        <v>3346165.7468371689</v>
      </c>
      <c r="K11" s="72">
        <f>D11</f>
        <v>2837500.02</v>
      </c>
      <c r="L11" s="75">
        <f t="shared" si="2"/>
        <v>28375.000199999999</v>
      </c>
      <c r="M11" s="103">
        <f>((K11*95%*3.44%)-((K11*95%*3.44%)*40%)+25955)+((K11*95%*3.44%)-((K11*95%*3.44%)*40%)+25955)*18%+(K11*95%*0.1%+350)+(K11*95%*0.1%+350)*18%-IF((((K11*95%*3.44%)-((K11*95%*3.44%)*40%))*2.5%)&gt;500,500,(((K11*95%*3.44%)-((K11*95%*3.44%)*40%))*2.5%))-IF((((K11*95%*3.44%)-((K11*95%*3.44%)*40%))*2.5%)&gt;500,500,(((K11*95%*3.44%)-((K11*95%*3.44%)*40%))*2.5%))*18%</f>
        <v>99283.223985168792</v>
      </c>
      <c r="N11" s="75">
        <f t="shared" ref="N11:N15" si="10">(K11*20/100)+(K11*20/100)*2/100+1500</f>
        <v>580350.00407999998</v>
      </c>
      <c r="O11" s="75">
        <v>600</v>
      </c>
      <c r="P11" s="72">
        <v>7138</v>
      </c>
      <c r="Q11" s="73">
        <f t="shared" si="3"/>
        <v>3546108.2482651686</v>
      </c>
      <c r="R11" s="75">
        <v>10000</v>
      </c>
      <c r="S11" s="75">
        <f t="shared" si="4"/>
        <v>20675.443895729997</v>
      </c>
      <c r="T11" s="75">
        <f t="shared" ref="T11:T15" si="11">((D11*95%)*0.125%)*1.18</f>
        <v>3976.0469030249997</v>
      </c>
      <c r="U11" s="75">
        <v>7999</v>
      </c>
      <c r="V11" s="73">
        <f t="shared" si="5"/>
        <v>3388816.237635924</v>
      </c>
      <c r="W11" s="84">
        <f>Q11+U11+R11+T11+S11</f>
        <v>3588758.7390639237</v>
      </c>
      <c r="X11" s="32">
        <f t="shared" si="6"/>
        <v>2695625.0189999999</v>
      </c>
      <c r="Y11" s="32">
        <f t="shared" si="7"/>
        <v>17521.562623499998</v>
      </c>
      <c r="Z11" s="32">
        <f t="shared" si="8"/>
        <v>3153.8812722299999</v>
      </c>
      <c r="AA11" s="32">
        <f t="shared" si="9"/>
        <v>20675.443895729997</v>
      </c>
      <c r="AF11" s="31">
        <v>2958575</v>
      </c>
      <c r="AG11" s="31">
        <v>3136258</v>
      </c>
      <c r="AH11" s="32">
        <f t="shared" ref="AH11:AH13" si="12">+AF11-V11</f>
        <v>-430241.23763592402</v>
      </c>
      <c r="AI11" s="32">
        <f t="shared" ref="AI11:AI13" si="13">+AG11-W11</f>
        <v>-452500.73906392371</v>
      </c>
    </row>
    <row r="12" spans="1:35" ht="21.6" customHeight="1">
      <c r="A12" s="291"/>
      <c r="B12" s="293" t="s">
        <v>169</v>
      </c>
      <c r="C12" s="94" t="s">
        <v>26</v>
      </c>
      <c r="D12" s="72">
        <v>3064999.93</v>
      </c>
      <c r="E12" s="75">
        <f t="shared" si="0"/>
        <v>30649.999300000003</v>
      </c>
      <c r="F12" s="103">
        <f>((D12*95%*3.44%)-((D12*95%*3.44%)*40%)+28805)+((D12*95%*3.44%)-((D12*95%*3.44%)*40%)+28805)*18%+(D12*95%*0.1%+350)+(D12*95%*0.1%+350)*18%-IF((((D12*95%*3.44%)-((D12*95%*3.44%)*40%))*2.5%)&gt;500,500,(((D12*95%*3.44%)-((D12*95%*3.44%)*40%))*2.5%))-IF((((D12*95%*3.44%)-((D12*95%*3.44%)*40%))*2.5%)&gt;500,500,(((D12*95%*3.44%)-((D12*95%*3.44%)*40%))*2.5%))*18%</f>
        <v>108165.0169019092</v>
      </c>
      <c r="G12" s="72">
        <f>(D12*15/100)+(D12*15/100)*2/100+1500</f>
        <v>470444.98929</v>
      </c>
      <c r="H12" s="72">
        <v>600</v>
      </c>
      <c r="I12" s="72">
        <v>8138</v>
      </c>
      <c r="J12" s="73">
        <f t="shared" si="1"/>
        <v>3674859.9354919093</v>
      </c>
      <c r="K12" s="72">
        <f t="shared" ref="K12:K15" si="14">D12</f>
        <v>3064999.93</v>
      </c>
      <c r="L12" s="75">
        <f t="shared" si="2"/>
        <v>30649.999300000003</v>
      </c>
      <c r="M12" s="103">
        <f>((K12*95%*3.44%)-((K12*95%*3.44%)*40%)+26555)+((K12*95%*3.44%)-((K12*95%*3.44%)*40%)+26555)*18%+(K12*95%*0.1%+250)+(K12*95%*0.1%+250)*18%-IF((((K12*95%*3.44%)-((K12*95%*3.44%)*40%))*2.5%)&gt;500,500,(((K12*95%*3.44%)-((K12*95%*3.44%)*40%))*2.5%))-IF((((K12*95%*3.44%)-((K12*95%*3.44%)*40%))*2.5%)&gt;500,500,(((K12*95%*3.44%)-((K12*95%*3.44%)*40%))*2.5%))*18%</f>
        <v>105392.0169019092</v>
      </c>
      <c r="N12" s="75">
        <f t="shared" si="10"/>
        <v>626759.98572</v>
      </c>
      <c r="O12" s="75">
        <v>600</v>
      </c>
      <c r="P12" s="72">
        <v>8138</v>
      </c>
      <c r="Q12" s="73">
        <f t="shared" si="3"/>
        <v>3828401.9319219091</v>
      </c>
      <c r="R12" s="75">
        <v>10000</v>
      </c>
      <c r="S12" s="75">
        <f t="shared" si="4"/>
        <v>22333.121989945004</v>
      </c>
      <c r="T12" s="75">
        <f t="shared" si="11"/>
        <v>4294.8311519125</v>
      </c>
      <c r="U12" s="75">
        <v>7999</v>
      </c>
      <c r="V12" s="73">
        <f t="shared" si="5"/>
        <v>3719486.8886337667</v>
      </c>
      <c r="W12" s="84">
        <f t="shared" ref="W12:W15" si="15">Q12+U12+R12+T12+S12</f>
        <v>3873028.8850637665</v>
      </c>
      <c r="X12" s="32">
        <f t="shared" si="6"/>
        <v>2911749.9335000003</v>
      </c>
      <c r="Y12" s="32">
        <f t="shared" si="7"/>
        <v>18926.374567750005</v>
      </c>
      <c r="Z12" s="32">
        <f t="shared" si="8"/>
        <v>3406.7474221950006</v>
      </c>
      <c r="AA12" s="32">
        <f t="shared" si="9"/>
        <v>22333.121989945004</v>
      </c>
      <c r="AF12" s="31">
        <v>3214639</v>
      </c>
      <c r="AG12" s="31">
        <v>3407869</v>
      </c>
      <c r="AH12" s="32">
        <f t="shared" si="12"/>
        <v>-504847.88863376668</v>
      </c>
      <c r="AI12" s="32">
        <f t="shared" si="13"/>
        <v>-465159.8850637665</v>
      </c>
    </row>
    <row r="13" spans="1:35" ht="21.6" customHeight="1">
      <c r="A13" s="291"/>
      <c r="B13" s="293"/>
      <c r="C13" s="94" t="s">
        <v>27</v>
      </c>
      <c r="D13" s="72">
        <v>3077499.94</v>
      </c>
      <c r="E13" s="75">
        <f t="shared" si="0"/>
        <v>30774.999400000001</v>
      </c>
      <c r="F13" s="103">
        <f>((D13*95%*3.44%)-((D13*95%*3.44%)*40%)+28805)+((D13*95%*3.44%)-((D13*95%*3.44%)*40%)+28805)*18%+(D13*95%*0.1%+350)+(D13*95%*0.1%+350)*18%-IF((((D13*95%*3.44%)-((D13*95%*3.44%)*40%))*2.5%)&gt;500,500,(((D13*95%*3.44%)-((D13*95%*3.44%)*40%))*2.5%))-IF((((D13*95%*3.44%)-((D13*95%*3.44%)*40%))*2.5%)&gt;500,500,(((D13*95%*3.44%)-((D13*95%*3.44%)*40%))*2.5%))*18%</f>
        <v>108468.24764449359</v>
      </c>
      <c r="G13" s="72">
        <f>(D13*15/100)+(D13*15/100)*2/100+1500</f>
        <v>472357.49082000006</v>
      </c>
      <c r="H13" s="72">
        <v>600</v>
      </c>
      <c r="I13" s="72">
        <v>8138</v>
      </c>
      <c r="J13" s="73">
        <f t="shared" si="1"/>
        <v>3689700.6778644938</v>
      </c>
      <c r="K13" s="72">
        <f t="shared" si="14"/>
        <v>3077499.94</v>
      </c>
      <c r="L13" s="75">
        <f t="shared" si="2"/>
        <v>30774.999400000001</v>
      </c>
      <c r="M13" s="103">
        <f>((K13*95%*3.44%)-((K13*95%*3.44%)*40%)+26555)+((K13*95%*3.44%)-((K13*95%*3.44%)*40%)+26555)*18%+(K13*95%*0.1%+250)+(K13*95%*0.1%+250)*18%-IF((((K13*95%*3.44%)-((K13*95%*3.44%)*40%))*2.5%)&gt;500,500,(((K13*95%*3.44%)-((K13*95%*3.44%)*40%))*2.5%))-IF((((K13*95%*3.44%)-((K13*95%*3.44%)*40%))*2.5%)&gt;500,500,(((K13*95%*3.44%)-((K13*95%*3.44%)*40%))*2.5%))*18%</f>
        <v>105695.24764449359</v>
      </c>
      <c r="N13" s="75">
        <f t="shared" si="10"/>
        <v>629309.98776000005</v>
      </c>
      <c r="O13" s="75">
        <v>600</v>
      </c>
      <c r="P13" s="72">
        <v>8138</v>
      </c>
      <c r="Q13" s="73">
        <f t="shared" si="3"/>
        <v>3843880.1748044938</v>
      </c>
      <c r="R13" s="75">
        <v>10000</v>
      </c>
      <c r="S13" s="75">
        <f t="shared" si="4"/>
        <v>22424.203312810001</v>
      </c>
      <c r="T13" s="75">
        <f t="shared" si="11"/>
        <v>4312.3467909249994</v>
      </c>
      <c r="U13" s="75">
        <v>7999</v>
      </c>
      <c r="V13" s="73">
        <f t="shared" si="5"/>
        <v>3734436.227968229</v>
      </c>
      <c r="W13" s="84">
        <f t="shared" si="15"/>
        <v>3888615.724908229</v>
      </c>
      <c r="X13" s="32">
        <f t="shared" si="6"/>
        <v>2923624.943</v>
      </c>
      <c r="Y13" s="32">
        <f t="shared" si="7"/>
        <v>19003.562129500002</v>
      </c>
      <c r="Z13" s="32">
        <f t="shared" si="8"/>
        <v>3420.6411833100005</v>
      </c>
      <c r="AA13" s="32">
        <f t="shared" si="9"/>
        <v>22424.203312810001</v>
      </c>
      <c r="AF13" s="31">
        <v>3229340</v>
      </c>
      <c r="AG13" s="31">
        <v>3423462</v>
      </c>
      <c r="AH13" s="32">
        <f t="shared" si="12"/>
        <v>-505096.22796822898</v>
      </c>
      <c r="AI13" s="32">
        <f t="shared" si="13"/>
        <v>-465153.72490822896</v>
      </c>
    </row>
    <row r="14" spans="1:35" ht="21.6" customHeight="1">
      <c r="A14" s="291"/>
      <c r="B14" s="293" t="s">
        <v>170</v>
      </c>
      <c r="C14" s="94" t="s">
        <v>26</v>
      </c>
      <c r="D14" s="72">
        <v>3274999.86</v>
      </c>
      <c r="E14" s="75">
        <f t="shared" si="0"/>
        <v>32749.998599999999</v>
      </c>
      <c r="F14" s="103">
        <f>((D14*95%*3.44%)-((D14*95%*3.44%)*40%)+28805)+((D14*95%*3.44%)-((D14*95%*3.44%)*40%)+28805)*18%+(D14*95%*0.1%+350)+(D14*95%*0.1%+350)*18%-IF((((D14*95%*3.44%)-((D14*95%*3.44%)*40%))*2.5%)&gt;500,500,(((D14*95%*3.44%)-((D14*95%*3.44%)*40%))*2.5%))-IF((((D14*95%*3.44%)-((D14*95%*3.44%)*40%))*2.5%)&gt;500,500,(((D14*95%*3.44%)-((D14*95%*3.44%)*40%))*2.5%))*18%</f>
        <v>113259.28760381837</v>
      </c>
      <c r="G14" s="72">
        <f>(D14*15/100)+(D14*15/100)*2/100+1500</f>
        <v>502574.97858</v>
      </c>
      <c r="H14" s="72">
        <v>600</v>
      </c>
      <c r="I14" s="72">
        <v>8138</v>
      </c>
      <c r="J14" s="73">
        <f t="shared" si="1"/>
        <v>3924184.1247838181</v>
      </c>
      <c r="K14" s="72">
        <f t="shared" si="14"/>
        <v>3274999.86</v>
      </c>
      <c r="L14" s="75">
        <f t="shared" si="2"/>
        <v>32749.998599999999</v>
      </c>
      <c r="M14" s="103">
        <f>((K14*95%*3.44%)-((K14*95%*3.44%)*40%)+26555)+((K14*95%*3.44%)-((K14*95%*3.44%)*40%)+26555)*18%+(K14*95%*0.1%+250)+(K14*95%*0.1%+250)*18%-IF((((K14*95%*3.44%)-((K14*95%*3.44%)*40%))*2.5%)&gt;500,500,(((K14*95%*3.44%)-((K14*95%*3.44%)*40%))*2.5%))-IF((((K14*95%*3.44%)-((K14*95%*3.44%)*40%))*2.5%)&gt;500,500,(((K14*95%*3.44%)-((K14*95%*3.44%)*40%))*2.5%))*18%</f>
        <v>110486.28760381837</v>
      </c>
      <c r="N14" s="75">
        <f t="shared" si="10"/>
        <v>669599.97143999999</v>
      </c>
      <c r="O14" s="75">
        <v>600</v>
      </c>
      <c r="P14" s="72">
        <v>8138</v>
      </c>
      <c r="Q14" s="73">
        <f t="shared" si="3"/>
        <v>4088436.1176438183</v>
      </c>
      <c r="R14" s="75">
        <v>10000</v>
      </c>
      <c r="S14" s="75">
        <f t="shared" ref="S14:S15" si="16">AA14</f>
        <v>23863.286479890001</v>
      </c>
      <c r="T14" s="75">
        <f t="shared" si="11"/>
        <v>4589.0935538249996</v>
      </c>
      <c r="U14" s="75">
        <v>7999</v>
      </c>
      <c r="V14" s="73">
        <f t="shared" si="5"/>
        <v>3970635.5048175328</v>
      </c>
      <c r="W14" s="84">
        <f t="shared" si="15"/>
        <v>4134887.497677533</v>
      </c>
      <c r="X14" s="32">
        <f t="shared" ref="X14:X15" si="17">D14*95/100</f>
        <v>3111249.8670000001</v>
      </c>
      <c r="Y14" s="32">
        <f t="shared" ref="Y14:Y15" si="18">X14*0.65/100</f>
        <v>20223.124135500002</v>
      </c>
      <c r="Z14" s="32">
        <f t="shared" ref="Z14:Z15" si="19">Y14*18/100</f>
        <v>3640.1623443900003</v>
      </c>
      <c r="AA14" s="32">
        <f t="shared" ref="AA14:AA15" si="20">Y14+Z14</f>
        <v>23863.286479890001</v>
      </c>
      <c r="AF14" s="31">
        <v>3214639</v>
      </c>
      <c r="AG14" s="31">
        <v>3407869</v>
      </c>
      <c r="AH14" s="32">
        <f t="shared" ref="AH14:AH15" si="21">+AF14-V14</f>
        <v>-755996.50481753284</v>
      </c>
      <c r="AI14" s="32">
        <f t="shared" ref="AI14:AI15" si="22">+AG14-W14</f>
        <v>-727018.49767753296</v>
      </c>
    </row>
    <row r="15" spans="1:35" ht="21.6" customHeight="1" thickBot="1">
      <c r="A15" s="292"/>
      <c r="B15" s="295"/>
      <c r="C15" s="96" t="s">
        <v>27</v>
      </c>
      <c r="D15" s="86">
        <v>3287500</v>
      </c>
      <c r="E15" s="89">
        <f t="shared" si="0"/>
        <v>32875</v>
      </c>
      <c r="F15" s="104">
        <f>((D15*95%*3.44%)-((D15*95%*3.44%)*40%)+28805)+((D15*95%*3.44%)-((D15*95%*3.44%)*40%)+28805)*18%+(D15*95%*0.1%+350)+(D15*95%*0.1%+350)*18%-IF((((D15*95%*3.44%)-((D15*95%*3.44%)*40%))*2.5%)&gt;500,500,(((D15*95%*3.44%)-((D15*95%*3.44%)*40%))*2.5%))-IF((((D15*95%*3.44%)-((D15*95%*3.44%)*40%))*2.5%)&gt;500,500,(((D15*95%*3.44%)-((D15*95%*3.44%)*40%))*2.5%))*18%</f>
        <v>113562.52149999999</v>
      </c>
      <c r="G15" s="86">
        <f>(D15*15/100)+(D15*15/100)*2/100+1500</f>
        <v>504487.5</v>
      </c>
      <c r="H15" s="86">
        <v>600</v>
      </c>
      <c r="I15" s="86">
        <v>8138</v>
      </c>
      <c r="J15" s="88">
        <f t="shared" si="1"/>
        <v>3939025.0214999998</v>
      </c>
      <c r="K15" s="89">
        <f t="shared" si="14"/>
        <v>3287500</v>
      </c>
      <c r="L15" s="89">
        <f t="shared" si="2"/>
        <v>32875</v>
      </c>
      <c r="M15" s="104">
        <f>((K15*95%*3.44%)-((K15*95%*3.44%)*40%)+26555)+((K15*95%*3.44%)-((K15*95%*3.44%)*40%)+26555)*18%+(K15*95%*0.1%+250)+(K15*95%*0.1%+250)*18%-IF((((K15*95%*3.44%)-((K15*95%*3.44%)*40%))*2.5%)&gt;500,500,(((K15*95%*3.44%)-((K15*95%*3.44%)*40%))*2.5%))-IF((((K15*95%*3.44%)-((K15*95%*3.44%)*40%))*2.5%)&gt;500,500,(((K15*95%*3.44%)-((K15*95%*3.44%)*40%))*2.5%))*18%</f>
        <v>110789.52149999999</v>
      </c>
      <c r="N15" s="89">
        <f t="shared" si="10"/>
        <v>672150</v>
      </c>
      <c r="O15" s="89">
        <v>600</v>
      </c>
      <c r="P15" s="86">
        <v>8138</v>
      </c>
      <c r="Q15" s="88">
        <f t="shared" si="3"/>
        <v>4103914.5214999998</v>
      </c>
      <c r="R15" s="89">
        <v>10000</v>
      </c>
      <c r="S15" s="89">
        <f t="shared" si="16"/>
        <v>23954.368750000001</v>
      </c>
      <c r="T15" s="89">
        <f t="shared" si="11"/>
        <v>4606.609375</v>
      </c>
      <c r="U15" s="89">
        <v>7999</v>
      </c>
      <c r="V15" s="88">
        <f t="shared" si="5"/>
        <v>3985584.9996249997</v>
      </c>
      <c r="W15" s="101">
        <f t="shared" si="15"/>
        <v>4150474.4996249997</v>
      </c>
      <c r="X15" s="32">
        <f t="shared" si="17"/>
        <v>3123125</v>
      </c>
      <c r="Y15" s="32">
        <f t="shared" si="18"/>
        <v>20300.3125</v>
      </c>
      <c r="Z15" s="32">
        <f t="shared" si="19"/>
        <v>3654.0562500000001</v>
      </c>
      <c r="AA15" s="32">
        <f t="shared" si="20"/>
        <v>23954.368750000001</v>
      </c>
      <c r="AF15" s="31">
        <v>3229340</v>
      </c>
      <c r="AG15" s="31">
        <v>3423462</v>
      </c>
      <c r="AH15" s="32">
        <f t="shared" si="21"/>
        <v>-756244.99962499971</v>
      </c>
      <c r="AI15" s="32">
        <f t="shared" si="22"/>
        <v>-727012.49962499971</v>
      </c>
    </row>
    <row r="17" spans="1:27" s="44" customFormat="1"/>
    <row r="18" spans="1:27" s="44" customFormat="1" ht="18.75">
      <c r="A18" s="63" t="s">
        <v>131</v>
      </c>
    </row>
    <row r="19" spans="1:27" s="44" customFormat="1" ht="18.75">
      <c r="A19" s="63"/>
    </row>
    <row r="20" spans="1:27" s="44" customFormat="1">
      <c r="A20" s="42" t="s">
        <v>177</v>
      </c>
      <c r="B20" s="43"/>
      <c r="C20" s="43"/>
      <c r="D20" s="43"/>
      <c r="E20" s="43"/>
      <c r="F20" s="43"/>
      <c r="G20" s="43"/>
      <c r="H20" s="43"/>
      <c r="I20" s="43"/>
      <c r="J20" s="43"/>
      <c r="L20" s="45"/>
      <c r="M20" s="45"/>
      <c r="N20" s="45"/>
      <c r="O20" s="45"/>
      <c r="P20" s="45"/>
      <c r="Q20" s="45"/>
      <c r="R20" s="45"/>
    </row>
    <row r="21" spans="1:27" s="44" customFormat="1">
      <c r="A21" s="46" t="s">
        <v>32</v>
      </c>
      <c r="B21" s="43"/>
      <c r="C21" s="43"/>
      <c r="D21" s="43"/>
      <c r="E21" s="43"/>
      <c r="F21" s="43"/>
      <c r="G21" s="43"/>
      <c r="H21" s="43"/>
      <c r="I21" s="43"/>
      <c r="J21" s="43"/>
      <c r="L21" s="45"/>
      <c r="M21" s="45"/>
      <c r="N21" s="45"/>
      <c r="O21" s="45"/>
      <c r="P21" s="45"/>
      <c r="Q21" s="45"/>
      <c r="R21" s="45"/>
    </row>
    <row r="22" spans="1:27" s="44" customFormat="1">
      <c r="A22" s="46" t="s">
        <v>99</v>
      </c>
      <c r="B22" s="43"/>
      <c r="C22" s="43"/>
      <c r="D22" s="43"/>
      <c r="E22" s="43"/>
      <c r="F22" s="43"/>
      <c r="G22" s="43"/>
      <c r="H22" s="43"/>
      <c r="I22" s="43"/>
      <c r="J22" s="43"/>
      <c r="L22" s="45"/>
      <c r="M22" s="45"/>
      <c r="N22" s="45"/>
      <c r="O22" s="45"/>
      <c r="P22" s="45"/>
      <c r="Q22" s="45"/>
      <c r="R22" s="45"/>
    </row>
    <row r="23" spans="1:27" s="44" customFormat="1">
      <c r="A23" s="47" t="s">
        <v>34</v>
      </c>
      <c r="B23" s="43"/>
      <c r="C23" s="43"/>
      <c r="D23" s="43"/>
      <c r="E23" s="43"/>
      <c r="F23" s="43"/>
      <c r="G23" s="43"/>
      <c r="H23" s="43"/>
      <c r="I23" s="43"/>
      <c r="J23" s="43"/>
      <c r="L23" s="45"/>
      <c r="M23" s="45"/>
      <c r="N23" s="45"/>
      <c r="O23" s="45"/>
      <c r="P23" s="45"/>
      <c r="Q23" s="45"/>
      <c r="R23" s="45"/>
    </row>
    <row r="24" spans="1:27" s="44" customFormat="1">
      <c r="A24" s="42"/>
      <c r="B24" s="43"/>
      <c r="C24" s="43"/>
      <c r="D24" s="43"/>
      <c r="E24" s="43"/>
      <c r="F24" s="43"/>
      <c r="G24" s="43"/>
      <c r="H24" s="43"/>
      <c r="I24" s="43"/>
      <c r="J24" s="43"/>
      <c r="L24" s="45"/>
      <c r="M24" s="45"/>
      <c r="N24" s="45"/>
      <c r="O24" s="45"/>
      <c r="P24" s="45"/>
      <c r="Q24" s="45"/>
      <c r="R24" s="45"/>
    </row>
    <row r="25" spans="1:27" s="44" customFormat="1">
      <c r="A25" s="42" t="s">
        <v>100</v>
      </c>
      <c r="B25" s="43"/>
      <c r="C25" s="43"/>
      <c r="D25" s="43"/>
      <c r="E25" s="43"/>
      <c r="F25" s="43"/>
      <c r="G25" s="43"/>
      <c r="H25" s="45"/>
      <c r="I25" s="45"/>
      <c r="J25" s="45"/>
      <c r="L25" s="45"/>
      <c r="M25" s="45"/>
      <c r="N25" s="45"/>
      <c r="O25" s="45"/>
      <c r="P25" s="45"/>
      <c r="Q25" s="45"/>
      <c r="R25" s="45"/>
    </row>
    <row r="26" spans="1:27" s="44" customFormat="1">
      <c r="A26" s="48" t="s">
        <v>36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0"/>
      <c r="V26" s="51"/>
      <c r="W26" s="51"/>
      <c r="X26" s="51"/>
      <c r="Y26" s="51"/>
    </row>
    <row r="27" spans="1:27" s="44" customFormat="1">
      <c r="A27" s="52" t="s">
        <v>129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1"/>
      <c r="X27" s="51"/>
      <c r="Y27" s="51"/>
    </row>
    <row r="28" spans="1:27" s="44" customFormat="1">
      <c r="A28" s="52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1"/>
      <c r="X28" s="51"/>
      <c r="Y28" s="51"/>
    </row>
    <row r="29" spans="1:27" s="44" customFormat="1">
      <c r="A29" s="62" t="s">
        <v>127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/>
      <c r="X29" s="51"/>
      <c r="Y29" s="51"/>
    </row>
    <row r="30" spans="1:27" s="44" customFormat="1">
      <c r="A30" s="125" t="s">
        <v>176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124"/>
      <c r="Z30" s="51"/>
      <c r="AA30" s="51"/>
    </row>
    <row r="31" spans="1:27" s="44" customFormat="1" ht="12.75" customHeight="1">
      <c r="A31" s="62" t="s">
        <v>128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/>
      <c r="X31" s="51"/>
      <c r="Y31" s="51"/>
    </row>
    <row r="32" spans="1:27" s="44" customFormat="1">
      <c r="A32" s="48" t="s">
        <v>39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/>
      <c r="X32" s="51"/>
      <c r="Y32" s="51"/>
    </row>
    <row r="33" spans="1:25" s="44" customFormat="1" ht="12.75" customHeight="1">
      <c r="A33" s="48" t="s">
        <v>40</v>
      </c>
      <c r="B33" s="29"/>
      <c r="C33" s="29"/>
      <c r="D33" s="29"/>
      <c r="E33" s="29"/>
      <c r="F33" s="29"/>
      <c r="G33" s="69"/>
      <c r="H33" s="29"/>
      <c r="I33" s="169"/>
      <c r="J33" s="29"/>
      <c r="K33" s="29"/>
      <c r="L33" s="29"/>
      <c r="M33" s="29"/>
      <c r="N33" s="69"/>
      <c r="O33" s="29"/>
      <c r="P33" s="169"/>
      <c r="Q33" s="29"/>
      <c r="R33" s="29"/>
      <c r="S33" s="29"/>
      <c r="T33" s="99"/>
      <c r="U33" s="29"/>
      <c r="V33" s="29"/>
      <c r="W33" s="29"/>
      <c r="X33" s="29"/>
      <c r="Y33" s="29"/>
    </row>
    <row r="34" spans="1:25" s="44" customFormat="1" ht="12.75" customHeight="1">
      <c r="A34" s="181" t="s">
        <v>41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</row>
    <row r="35" spans="1:25" s="44" customFormat="1">
      <c r="A35" s="48" t="s">
        <v>42</v>
      </c>
    </row>
    <row r="36" spans="1:25" s="44" customFormat="1">
      <c r="A36" s="48" t="s">
        <v>171</v>
      </c>
    </row>
    <row r="37" spans="1:25" s="44" customFormat="1"/>
    <row r="38" spans="1:25" s="44" customFormat="1"/>
    <row r="39" spans="1:25" s="44" customFormat="1"/>
  </sheetData>
  <sheetProtection selectLockedCells="1" selectUnlockedCells="1"/>
  <mergeCells count="18">
    <mergeCell ref="A1:W1"/>
    <mergeCell ref="A2:W2"/>
    <mergeCell ref="A3:W3"/>
    <mergeCell ref="A4:W4"/>
    <mergeCell ref="A5:W5"/>
    <mergeCell ref="A6:W6"/>
    <mergeCell ref="A7:W7"/>
    <mergeCell ref="A8:A9"/>
    <mergeCell ref="B8:C9"/>
    <mergeCell ref="D8:J8"/>
    <mergeCell ref="K8:Q8"/>
    <mergeCell ref="R8:U8"/>
    <mergeCell ref="V8:W8"/>
    <mergeCell ref="A10:A15"/>
    <mergeCell ref="A34:Y34"/>
    <mergeCell ref="B12:B13"/>
    <mergeCell ref="B10:B11"/>
    <mergeCell ref="B14:B15"/>
  </mergeCells>
  <pageMargins left="0.29097222222222224" right="0.2" top="0.47499999999999998" bottom="0.78749999999999998" header="0.51180555555555551" footer="0.51180555555555551"/>
  <pageSetup scale="55" firstPageNumber="0" orientation="landscape" horizontalDpi="300" verticalDpi="300" r:id="rId1"/>
  <headerFooter alignWithMargins="0"/>
  <ignoredErrors>
    <ignoredError sqref="G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Sheet2</vt:lpstr>
      <vt:lpstr>BRIO</vt:lpstr>
      <vt:lpstr>JAZZ</vt:lpstr>
      <vt:lpstr>JAZZ (MMC)</vt:lpstr>
      <vt:lpstr>WRV</vt:lpstr>
      <vt:lpstr>AMAZE</vt:lpstr>
      <vt:lpstr>CITY (MMC)</vt:lpstr>
      <vt:lpstr>BRV</vt:lpstr>
      <vt:lpstr>NEW CRV</vt:lpstr>
      <vt:lpstr>Accord</vt:lpstr>
      <vt:lpstr>NEW AMAZE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viva3</dc:creator>
  <cp:lastModifiedBy>TeleMarketing3</cp:lastModifiedBy>
  <cp:lastPrinted>2019-01-12T12:20:26Z</cp:lastPrinted>
  <dcterms:created xsi:type="dcterms:W3CDTF">2017-07-17T11:42:27Z</dcterms:created>
  <dcterms:modified xsi:type="dcterms:W3CDTF">2019-02-02T13:27:46Z</dcterms:modified>
</cp:coreProperties>
</file>